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05" windowWidth="17970" windowHeight="11640" tabRatio="778" activeTab="0"/>
  </bookViews>
  <sheets>
    <sheet name="Приложение 2, с предлож. предпр" sheetId="1" r:id="rId1"/>
    <sheet name="Прил 3 (расчет ИФО)" sheetId="2" r:id="rId2"/>
    <sheet name="ОАО Саянскхимпласт" sheetId="3" r:id="rId3"/>
    <sheet name="ОАО Ново-Зиминская ТЭЦ" sheetId="4" r:id="rId4"/>
    <sheet name="ООО Саянский бройлер" sheetId="5" r:id="rId5"/>
    <sheet name="ООО УПП" sheetId="6" r:id="rId6"/>
    <sheet name="ЗАО Саянскгазобетон" sheetId="7" r:id="rId7"/>
    <sheet name="ООО Московский тракт" sheetId="8" r:id="rId8"/>
    <sheet name="ООО ХимСтройМонтаж" sheetId="9" r:id="rId9"/>
    <sheet name="ФКУ ОИК-8" sheetId="10" r:id="rId10"/>
    <sheet name="Инвестпроекты Приложение 5" sheetId="11" r:id="rId11"/>
  </sheets>
  <definedNames>
    <definedName name="_xlnm.Print_Area" localSheetId="6">'ЗАО Саянскгазобетон'!$A$1:$J$63</definedName>
    <definedName name="_xlnm.Print_Area" localSheetId="3">'ОАО Ново-Зиминская ТЭЦ'!$A$1:$J$64</definedName>
    <definedName name="_xlnm.Print_Area" localSheetId="2">'ОАО Саянскхимпласт'!$A$1:$J$74</definedName>
    <definedName name="_xlnm.Print_Area" localSheetId="7">'ООО Московский тракт'!$A$1:$J$67</definedName>
    <definedName name="_xlnm.Print_Area" localSheetId="4">'ООО Саянский бройлер'!$A$1:$J$68</definedName>
    <definedName name="_xlnm.Print_Area" localSheetId="5">'ООО УПП'!$A$1:$J$73</definedName>
    <definedName name="_xlnm.Print_Area" localSheetId="8">'ООО ХимСтройМонтаж'!$A$1:$J$62</definedName>
    <definedName name="_xlnm.Print_Area" localSheetId="1">'Прил 3 (расчет ИФО)'!$A$1:$T$152</definedName>
    <definedName name="_xlnm.Print_Area" localSheetId="0">'Приложение 2, с предлож. предпр'!$A$1:$AN$95</definedName>
    <definedName name="_xlnm.Print_Area" localSheetId="9">'ФКУ ОИК-8'!$A$1:$J$75</definedName>
  </definedNames>
  <calcPr fullCalcOnLoad="1"/>
</workbook>
</file>

<file path=xl/sharedStrings.xml><?xml version="1.0" encoding="utf-8"?>
<sst xmlns="http://schemas.openxmlformats.org/spreadsheetml/2006/main" count="1636" uniqueCount="378">
  <si>
    <t>Среднесписочная 
численность работающих (чел.)</t>
  </si>
  <si>
    <t>Выручка от реализации
товаров  (работ, услуг), млн. руб.</t>
  </si>
  <si>
    <t xml:space="preserve">2 вариант </t>
  </si>
  <si>
    <t>экономические показатели</t>
  </si>
  <si>
    <t>Производство прочих неметаллических минеральных продуктов - всего</t>
  </si>
  <si>
    <t>Производство и распределение электроэнергии, газа и воды - всего (E)</t>
  </si>
  <si>
    <t>Строительство - всего</t>
  </si>
  <si>
    <t>Транспорт и связь - всего</t>
  </si>
  <si>
    <t>Сельское хозяйство - всего</t>
  </si>
  <si>
    <t>Торговля - всего</t>
  </si>
  <si>
    <t xml:space="preserve">Прочие - всего </t>
  </si>
  <si>
    <t>Ед. изм.</t>
  </si>
  <si>
    <t>%</t>
  </si>
  <si>
    <t>руб.</t>
  </si>
  <si>
    <t>ед.</t>
  </si>
  <si>
    <t>в том числе:</t>
  </si>
  <si>
    <t>Обрабатывающие производства, всего (D)</t>
  </si>
  <si>
    <t>из них:</t>
  </si>
  <si>
    <t>Средняя цена за единицу продукции, тыс. рублей</t>
  </si>
  <si>
    <t xml:space="preserve">Объем произведенной продукции в сопоставимых ценах </t>
  </si>
  <si>
    <t>А</t>
  </si>
  <si>
    <t>ПРОМЫШЛЕННОЕ ПРОИЗВОДСТВО:</t>
  </si>
  <si>
    <t>тыс. м3</t>
  </si>
  <si>
    <t>т</t>
  </si>
  <si>
    <t>ИТОГО</t>
  </si>
  <si>
    <t xml:space="preserve"> Обрабатывающие производства (Раздел  D)</t>
  </si>
  <si>
    <t>Свинина (в парном весе)</t>
  </si>
  <si>
    <t>Баранина (в парном весе)</t>
  </si>
  <si>
    <t>Изделия колбасные - всего</t>
  </si>
  <si>
    <t>Полуфабрикаты мясные - всего</t>
  </si>
  <si>
    <t>Цельномолочная продукция (в пересчете на молоко) - всего</t>
  </si>
  <si>
    <t>Нежирная молочная продукция в пересчете на обезжиренное молоко</t>
  </si>
  <si>
    <t>Масло животное - всего</t>
  </si>
  <si>
    <t>Сыры жирные (включая брынзу) - всего</t>
  </si>
  <si>
    <t>Мука - всего</t>
  </si>
  <si>
    <t>Крупа - всего</t>
  </si>
  <si>
    <t>Хлеб и хлебобулочные изделия - всего</t>
  </si>
  <si>
    <t>Изделия кондитерские мучные</t>
  </si>
  <si>
    <t>Макаронные изделия - всего</t>
  </si>
  <si>
    <t>Майонез</t>
  </si>
  <si>
    <t>тыс. дкл</t>
  </si>
  <si>
    <t>Белье постельное</t>
  </si>
  <si>
    <t>тыс. шт</t>
  </si>
  <si>
    <t>Одеяла стеганые</t>
  </si>
  <si>
    <t>Куртки ватные (спецодежда)</t>
  </si>
  <si>
    <t>Костюмы рабочие и специального назначения</t>
  </si>
  <si>
    <t>Рукавицы</t>
  </si>
  <si>
    <t>тыс.пар</t>
  </si>
  <si>
    <t>Головные уборы (кроме фетровых, трикотажных и меховых)</t>
  </si>
  <si>
    <t>Пиломатериалы, включая пиломатериалы из давальческого сырья</t>
  </si>
  <si>
    <t>тыс.шт</t>
  </si>
  <si>
    <t>тыс. плотн. м3</t>
  </si>
  <si>
    <t>тыс. м2</t>
  </si>
  <si>
    <t>Блоки дверные в сборе (комплектно)</t>
  </si>
  <si>
    <t>Блоки оконные в сборе (комплектно)</t>
  </si>
  <si>
    <t>Сода каустическая 100% (включая калий едкий 100%)</t>
  </si>
  <si>
    <t>Синтетические смолы и пластические массы - всего</t>
  </si>
  <si>
    <t>Средства для отбеливания, подсинивания и подкрахмаливания изделий из тканей</t>
  </si>
  <si>
    <t>Пластикаты поливинилхлоридные</t>
  </si>
  <si>
    <t>тыс.т</t>
  </si>
  <si>
    <t>Конструкции и детали сборные железобетонные</t>
  </si>
  <si>
    <t>Раствор строительный (товарный выпуск)</t>
  </si>
  <si>
    <t>Смесь бетонная (товарный выпуск)</t>
  </si>
  <si>
    <t xml:space="preserve">Производство и распределение электроэнергии, газа и воды (Раздел Е)
</t>
  </si>
  <si>
    <t>тыс. Гкал</t>
  </si>
  <si>
    <t>Передача пара и горячей воды (тепловой энергии)</t>
  </si>
  <si>
    <t>Теплоэнергия - всего</t>
  </si>
  <si>
    <t>Итого по промышленному производству (сумма разделов C+D+E)</t>
  </si>
  <si>
    <t>Лесное хозяйство и предоставление услуг в этой области (02)</t>
  </si>
  <si>
    <t>Вывозка древесины - всего</t>
  </si>
  <si>
    <t>Сельское хозяйство</t>
  </si>
  <si>
    <t>молоко</t>
  </si>
  <si>
    <t>яйца</t>
  </si>
  <si>
    <t>х</t>
  </si>
  <si>
    <t>Наименование элементарного вида деятельности,
 товара-представителя</t>
  </si>
  <si>
    <t>Производство пищевых продуктов,включая напитки, и табака - всего</t>
  </si>
  <si>
    <t>Текстильное и швейное производство - всего</t>
  </si>
  <si>
    <t>Целлюлозно-бумажное производство; издательская и полиграфическая деятельность - всего</t>
  </si>
  <si>
    <t>Химическое производство - всего</t>
  </si>
  <si>
    <t xml:space="preserve">1 вариант </t>
  </si>
  <si>
    <t>финансовые показатели</t>
  </si>
  <si>
    <t>социальные показатели</t>
  </si>
  <si>
    <t>Фонд оплаты труда, млн. руб</t>
  </si>
  <si>
    <t xml:space="preserve">Объем отгруженных товаров, 
выполненных работ и услуг, млн. руб. </t>
  </si>
  <si>
    <t xml:space="preserve"> Говядина (в парном весе)</t>
  </si>
  <si>
    <t>в т.ч.по предприятиям:</t>
  </si>
  <si>
    <t xml:space="preserve">Производство пищевых продуктов, включая напитки, и табака (Подраздел DA)
</t>
  </si>
  <si>
    <t xml:space="preserve">Текстильное и швейное производство (Подраздел DB)
</t>
  </si>
  <si>
    <t xml:space="preserve"> Обработка древесины и производство изделий из дерева (Подраздел DD)
</t>
  </si>
  <si>
    <t xml:space="preserve">Химическое производство (Подраздел DG)
</t>
  </si>
  <si>
    <t xml:space="preserve">Производство резиновых и пластмассовых изделий (Подраздел DH)
</t>
  </si>
  <si>
    <t xml:space="preserve">Производство прочих неметаллических минеральных продуктов (Подраздел DI)
</t>
  </si>
  <si>
    <t>Промышленное производство (C+D+E):</t>
  </si>
  <si>
    <t>Индекс производства продукции,  (%) **)</t>
  </si>
  <si>
    <t>Прибыль (убыток) до налогообложения, 
млн. руб.</t>
  </si>
  <si>
    <t xml:space="preserve">ВСЕГО </t>
  </si>
  <si>
    <t>Произведено продукции в натуральном выражении</t>
  </si>
  <si>
    <t>Костюмы зимние</t>
  </si>
  <si>
    <t>Костюмы летние</t>
  </si>
  <si>
    <t>Среднемесячная заработная плата, руб</t>
  </si>
  <si>
    <t>№ п/п</t>
  </si>
  <si>
    <t>в т.ч. по видам экономической деятельности в разрезе предприятий:</t>
  </si>
  <si>
    <t>Малый бизнес-всего (с учетом микропредприятий)</t>
  </si>
  <si>
    <t>Наименование проекта</t>
  </si>
  <si>
    <t>Инвестор</t>
  </si>
  <si>
    <t>Объем инвестиций, млн.руб.</t>
  </si>
  <si>
    <t>Выручка от реализации продукции, работ, услуг, млн.руб.</t>
  </si>
  <si>
    <t xml:space="preserve">Выпуск продукции в натуральном выражении
 (в соотв. ед.) 
</t>
  </si>
  <si>
    <t>Количество ежегодно создаваемых новых рабочих мест, ед.</t>
  </si>
  <si>
    <t xml:space="preserve">Период реализации проекта </t>
  </si>
  <si>
    <t>Экономи-
ческий эффект (прибыль), млн. руб.</t>
  </si>
  <si>
    <t>2014 г.</t>
  </si>
  <si>
    <t>Диагностика состояния экономики и предприятий городского округа муниципального образования "город Саянск"</t>
  </si>
  <si>
    <t>ООО "Саянский бройлер"</t>
  </si>
  <si>
    <t>итого:</t>
  </si>
  <si>
    <t>Безалкогольные напитки (вода чистая питьевая)</t>
  </si>
  <si>
    <t>Вода газированная</t>
  </si>
  <si>
    <t>тыс. полулитров</t>
  </si>
  <si>
    <t>ИТОГО (Подраздел DA):</t>
  </si>
  <si>
    <t>ИТОГО (Подраздел DB):</t>
  </si>
  <si>
    <t>ИТОГО (Подраздел DD):</t>
  </si>
  <si>
    <t>ИТОГО (Подраздел DG):</t>
  </si>
  <si>
    <t>ИТОГО (Подраздел DH):</t>
  </si>
  <si>
    <t>ОАО "СХПл"</t>
  </si>
  <si>
    <t>ИТОГО (Подраздел DG и Подраздел DH):</t>
  </si>
  <si>
    <t>ООО "УПП"</t>
  </si>
  <si>
    <t>ИТОГО (Подраздел DI):</t>
  </si>
  <si>
    <t>ИТОГО (Раздел D):</t>
  </si>
  <si>
    <t>МУП "СТЭП"</t>
  </si>
  <si>
    <t>ИТОГО (Раздел Е):</t>
  </si>
  <si>
    <t>мясо птицы в живом весе на убой</t>
  </si>
  <si>
    <t>ИТОГО Сельское хозяйство:</t>
  </si>
  <si>
    <t>в т.ч. от сдачи в аренду производственных площадей, объектов недвижимости (с 01.07.2009г.)</t>
  </si>
  <si>
    <t xml:space="preserve"> - ОАО МК "Саянский"</t>
  </si>
  <si>
    <t xml:space="preserve"> - ООО "Паритет"</t>
  </si>
  <si>
    <t xml:space="preserve"> - ЗАО "Прессервис"</t>
  </si>
  <si>
    <t xml:space="preserve"> - прочие</t>
  </si>
  <si>
    <t xml:space="preserve"> - ОАО "Саянскхимпласт"</t>
  </si>
  <si>
    <t xml:space="preserve"> - ООО "УПП"</t>
  </si>
  <si>
    <t>Производство мебели и прочей продукции, не включенной в другие группировки - всего</t>
  </si>
  <si>
    <t xml:space="preserve"> - ООО "Сибстройсервис плюс"</t>
  </si>
  <si>
    <t xml:space="preserve"> - ООО "УЭС"</t>
  </si>
  <si>
    <t xml:space="preserve"> - МУП "СТЭП"</t>
  </si>
  <si>
    <t xml:space="preserve"> - МУП "Водоканал - Сервис"</t>
  </si>
  <si>
    <t xml:space="preserve"> - ГУЭП "Облкоммунэнерго Саянские электрические сети"</t>
  </si>
  <si>
    <t xml:space="preserve"> - ОАО "Иркутскэнерго" филиал Ново - Зиминская ТЭЦ</t>
  </si>
  <si>
    <t xml:space="preserve"> - ООО "Химстроймонтаж"</t>
  </si>
  <si>
    <t xml:space="preserve"> - ООО "Водоканал - строй"</t>
  </si>
  <si>
    <t xml:space="preserve"> - ЗАО "Восток - Центр"</t>
  </si>
  <si>
    <t xml:space="preserve"> - ООО "Саянское АТП"</t>
  </si>
  <si>
    <t xml:space="preserve"> - ООО "Транс - Экспресс"</t>
  </si>
  <si>
    <t xml:space="preserve"> - Филиал ФГУП "Почта России" Саянский почтамт</t>
  </si>
  <si>
    <t xml:space="preserve"> - ООО "Брилиант"</t>
  </si>
  <si>
    <t xml:space="preserve"> - ООО "Грей"</t>
  </si>
  <si>
    <t xml:space="preserve"> - ООО "ВИП"</t>
  </si>
  <si>
    <t xml:space="preserve"> - ЗАО "Санаторий-профилакторий "Восток - УЛАН"</t>
  </si>
  <si>
    <t xml:space="preserve"> - СМУП "Рыночный комплекс"</t>
  </si>
  <si>
    <t xml:space="preserve"> - ООО "Стрела"</t>
  </si>
  <si>
    <t xml:space="preserve"> - ООО "Дар"</t>
  </si>
  <si>
    <t xml:space="preserve"> - ООО "Чистоград"</t>
  </si>
  <si>
    <t xml:space="preserve"> - ООО "УК Искра"</t>
  </si>
  <si>
    <t xml:space="preserve"> - ООО "РКЦ"</t>
  </si>
  <si>
    <t xml:space="preserve"> - ООО "КСТ"</t>
  </si>
  <si>
    <t xml:space="preserve"> - ООО "Гранд"</t>
  </si>
  <si>
    <t xml:space="preserve"> - ООО "Альфа"</t>
  </si>
  <si>
    <t xml:space="preserve"> - ООО "Саянск-лифт"</t>
  </si>
  <si>
    <t xml:space="preserve"> - прочие </t>
  </si>
  <si>
    <t xml:space="preserve"> - ФБУ "ОИК-8", с 2011г. - ФКУ "ОИК-8"</t>
  </si>
  <si>
    <t>областной налогоплательщик</t>
  </si>
  <si>
    <t>2015 г.</t>
  </si>
  <si>
    <t xml:space="preserve"> - МУП "Сервис Центр"</t>
  </si>
  <si>
    <t xml:space="preserve"> - ЗАО "Санаторий Кедр"</t>
  </si>
  <si>
    <t xml:space="preserve"> - ЗАО "Саянскгазобетон"</t>
  </si>
  <si>
    <t xml:space="preserve">Показатели социально-экономического развития базовых предприятий </t>
  </si>
  <si>
    <t>(наименование предприятия)</t>
  </si>
  <si>
    <t xml:space="preserve">Показатели </t>
  </si>
  <si>
    <t>Ед. измер.</t>
  </si>
  <si>
    <t>прогноз на:</t>
  </si>
  <si>
    <r>
      <t xml:space="preserve">Загруженность мощностей                                                                      </t>
    </r>
    <r>
      <rPr>
        <sz val="12"/>
        <rFont val="Times New Roman"/>
        <family val="1"/>
      </rPr>
      <t>(средняя или по основной номенклатуре)</t>
    </r>
  </si>
  <si>
    <r>
      <t xml:space="preserve">Износ машин и оборудования                                                                   </t>
    </r>
    <r>
      <rPr>
        <sz val="12"/>
        <rFont val="Times New Roman"/>
        <family val="1"/>
      </rPr>
      <t>(активной части ОФ)</t>
    </r>
  </si>
  <si>
    <t xml:space="preserve">Среднегод. стоим. ОФ по остат. стоимости </t>
  </si>
  <si>
    <t>тыс. руб.</t>
  </si>
  <si>
    <t>Инвестиции в основной капитал</t>
  </si>
  <si>
    <t>Выручка от реализации товаров (работ, услуг)</t>
  </si>
  <si>
    <t>Удельный вес экспорта в объеме реализации</t>
  </si>
  <si>
    <t>Прибыль (убыток) до налогообложения</t>
  </si>
  <si>
    <t>Объем затрат на производство и реализацию продукции (работ, услуг)</t>
  </si>
  <si>
    <t>Затраты на рубль реализованной  продукции</t>
  </si>
  <si>
    <t>Удельный вес в затратах на производство и реализацию продукции (услуг) на:</t>
  </si>
  <si>
    <t xml:space="preserve">  - электрическую энергию</t>
  </si>
  <si>
    <t xml:space="preserve">  - тепловую энергию</t>
  </si>
  <si>
    <t xml:space="preserve">  - топливо</t>
  </si>
  <si>
    <t xml:space="preserve">  - ж/д перевозки</t>
  </si>
  <si>
    <t>Налоги и платежи в бюджеты всех уровней</t>
  </si>
  <si>
    <t xml:space="preserve">  - начисленные</t>
  </si>
  <si>
    <t xml:space="preserve">  - уплаченные</t>
  </si>
  <si>
    <t xml:space="preserve"> в том числе в консолидированный бюджет области:</t>
  </si>
  <si>
    <t>Задолженность по платежам в бюджеты всех уровней (на конец года) - всего,</t>
  </si>
  <si>
    <t>в том числе</t>
  </si>
  <si>
    <t>в федеральный бюджет</t>
  </si>
  <si>
    <t>в областной бюджет</t>
  </si>
  <si>
    <t>в консолидированный местный бюджет</t>
  </si>
  <si>
    <t>Среднесписочная численность работающих</t>
  </si>
  <si>
    <t>чел.</t>
  </si>
  <si>
    <t>Количество создаваемых новых рабочих мест</t>
  </si>
  <si>
    <t>Фонд оплаты труда</t>
  </si>
  <si>
    <t>Задолженность по заработной плате на конец года</t>
  </si>
  <si>
    <t>Выпуск основных видов продукции:</t>
  </si>
  <si>
    <t>в натур. выраж.</t>
  </si>
  <si>
    <t>собственные средства предприятий</t>
  </si>
  <si>
    <t>федеральный бюджет</t>
  </si>
  <si>
    <t>областной бюджет</t>
  </si>
  <si>
    <t>местный бюджет</t>
  </si>
  <si>
    <t>кредиты банка</t>
  </si>
  <si>
    <t>прочие</t>
  </si>
  <si>
    <t xml:space="preserve">Расчет индексов производства продукции
                                             по элементарному виду деятельности,  исходя из динамики по товарам-представителям.                                                                                                                                                                                                    Городской округ муниципального образования"город Саянск"
</t>
  </si>
  <si>
    <t>т.м3</t>
  </si>
  <si>
    <t>Пиломатериал</t>
  </si>
  <si>
    <t>ООО "ХимСтройМонтаж"</t>
  </si>
  <si>
    <t>ЗАО "Саянскгазобетон"</t>
  </si>
  <si>
    <t>тыс. шт.</t>
  </si>
  <si>
    <t>Одеяла</t>
  </si>
  <si>
    <t>Куртки</t>
  </si>
  <si>
    <t>Костюмы рабочие специального назначения</t>
  </si>
  <si>
    <t>тыс. пар</t>
  </si>
  <si>
    <t>Головные уборы</t>
  </si>
  <si>
    <t>Приложение 5 к Прогнозу</t>
  </si>
  <si>
    <t>г. Саянск</t>
  </si>
  <si>
    <t>ОАО "Саянскхимпласт"</t>
  </si>
  <si>
    <t>Прочие проекты</t>
  </si>
  <si>
    <t>ОАО "Иркутскэнерго" Ново-Зиминская ТЭЦ</t>
  </si>
  <si>
    <t>Добыча полезных ископаемых (Раздел С)</t>
  </si>
  <si>
    <t>Добыча полезных ископаемых,кроме топливно-энергетических (Подраздел СВ)</t>
  </si>
  <si>
    <t>Материалы строительные нерудные</t>
  </si>
  <si>
    <t>млн. усл.кирп.</t>
  </si>
  <si>
    <t>Блоки стеновые мелкие из ячеистого бетона</t>
  </si>
  <si>
    <t>Приложение 2 к Прогнозу</t>
  </si>
  <si>
    <t>Приложение 3 к Прогнозу</t>
  </si>
  <si>
    <t>Приложение 4.3 к Прогнозу</t>
  </si>
  <si>
    <t>Приложение 4.4 к Прогнозу</t>
  </si>
  <si>
    <t>Приложение 4.5 к Прогнозу</t>
  </si>
  <si>
    <t>2016 год</t>
  </si>
  <si>
    <t>Факт
2012 г.</t>
  </si>
  <si>
    <t xml:space="preserve"> - ОАО МК "Саянский"(сдача в аренду производственных площадей, объектов недвижимости - вид деятельности)</t>
  </si>
  <si>
    <t xml:space="preserve"> - ООО "Альфа Продукт Плюс"</t>
  </si>
  <si>
    <t xml:space="preserve">  - ФКУ "ОИК-8"</t>
  </si>
  <si>
    <t>Производство машин и оборудования</t>
  </si>
  <si>
    <t xml:space="preserve"> -- ООО "Саянск-лифт"</t>
  </si>
  <si>
    <t xml:space="preserve"> -ООО "МСУ - 50"</t>
  </si>
  <si>
    <t xml:space="preserve"> - ООО "Московский тракт"</t>
  </si>
  <si>
    <t xml:space="preserve"> - Саянский центр телекоммуникаций структурное подразделение Иркутского филиала ОАО "Ростелеком"</t>
  </si>
  <si>
    <t xml:space="preserve">инд. физ. </t>
  </si>
  <si>
    <t>доля МБ, %</t>
  </si>
  <si>
    <t>2012г</t>
  </si>
  <si>
    <t>2016 г.</t>
  </si>
  <si>
    <t>15 =
итог гр.10/
итог гр.9
* 100</t>
  </si>
  <si>
    <t>16 =
итог гр.11/
итог гр.10
* 100</t>
  </si>
  <si>
    <t>17=
итог гр.12/
итог гр.11
* 100</t>
  </si>
  <si>
    <t>18 =
итог гр.13/
итог гр.12
* 100</t>
  </si>
  <si>
    <t>19 =
итог гр.14/
итог гр.13
* 100</t>
  </si>
  <si>
    <t>ФКУ "ОИК-8"</t>
  </si>
  <si>
    <t>ООО "Альфа Продукт Плюс"</t>
  </si>
  <si>
    <t xml:space="preserve"> ФКУ "ОИК-8"</t>
  </si>
  <si>
    <t xml:space="preserve">(предоставляется отдельно по каждому предприятию) </t>
  </si>
  <si>
    <t>________________________________________________________________________________________</t>
  </si>
  <si>
    <t>факт 2012</t>
  </si>
  <si>
    <t xml:space="preserve"> - Поливинилхлорид</t>
  </si>
  <si>
    <t xml:space="preserve"> - Каустическая сода</t>
  </si>
  <si>
    <t xml:space="preserve"> - Отбеливающее средство "Белизна"</t>
  </si>
  <si>
    <t>Сода каустическая 100% (включая калий едкий 100%</t>
  </si>
  <si>
    <t>Наименование проекта и населенного пункта, где планируется реализация проекта</t>
  </si>
  <si>
    <t>Период реализации</t>
  </si>
  <si>
    <t>Объем инвестиций, млн. руб.</t>
  </si>
  <si>
    <t>Выручка от реализации продукции, работ, услуг, млн. руб.</t>
  </si>
  <si>
    <t>Выпуск продукции в натуральном выражении (в соотв. ед.)</t>
  </si>
  <si>
    <t>Экономи-ческий эффект (прибыль), млн. руб.</t>
  </si>
  <si>
    <t>ПВХ, тыс. тн.</t>
  </si>
  <si>
    <t>сода каустическая, тыс. тн.</t>
  </si>
  <si>
    <t>и т.д.</t>
  </si>
  <si>
    <t>Подпись руководителя предприятия</t>
  </si>
  <si>
    <t>Приложение 4 к Прогнозу</t>
  </si>
  <si>
    <t>ОАО Ново - Зиминская ТЭЦ</t>
  </si>
  <si>
    <t>ЦЕНТРАЛИЗОВАННЫЙ БАЛАНС</t>
  </si>
  <si>
    <t>продукция №1</t>
  </si>
  <si>
    <t>продукция №2</t>
  </si>
  <si>
    <t>Реконструкция и модернизация действующего производства ОАО "Ново-Зиминская ТЭЦ ОАО "Иркутскэрнерго"</t>
  </si>
  <si>
    <t xml:space="preserve">Директор                                                                     С.П. Чернокалов </t>
  </si>
  <si>
    <t>Приложение 4.1 Прогнозу</t>
  </si>
  <si>
    <t>мясо птицы в живом весе на убой, тн</t>
  </si>
  <si>
    <t>колбасные изделия и копчености, тн</t>
  </si>
  <si>
    <t>полуфабрикаты и фарш, тн</t>
  </si>
  <si>
    <t>Реконструкция и модернизация действующего производства  ООО "Саянский бройлер"</t>
  </si>
  <si>
    <t>Реконструкция автомобильной дороги "Саянск-птицефабрика ООО "Саянский бройлер"</t>
  </si>
  <si>
    <t>Генеральный директор                                   А.Р. Романовский</t>
  </si>
  <si>
    <t>Приложение 4.2 Прогнозу</t>
  </si>
  <si>
    <t>ООО " УПП"</t>
  </si>
  <si>
    <t>Сб.ж/бетон</t>
  </si>
  <si>
    <t>сб.ж/бет., т.м3</t>
  </si>
  <si>
    <t>песок для г/бет. блоков,  т.м3</t>
  </si>
  <si>
    <t>Модернизация и техническое перевооружение предприятия "ООО "Управление промышленных предприятий"</t>
  </si>
  <si>
    <t>Строительство теплотрассы, сети водопровода, системы водоотведения</t>
  </si>
  <si>
    <t>…</t>
  </si>
  <si>
    <t>Генеральный директор ООО "УПП"                                                                           В.П. Зюзин</t>
  </si>
  <si>
    <t>Проект 1</t>
  </si>
  <si>
    <t>Исполнительный директор ЗАО "Саянскгазобетон"                                                               Н.В. Гайдуков</t>
  </si>
  <si>
    <t>ФКУ ОИК - 8  ГУФСИН России по Иркутской области</t>
  </si>
  <si>
    <t>Наименование 
городского (сельского) поселения и населенного пункта на территории которого предполагается реализация инвестпроекта</t>
  </si>
  <si>
    <r>
      <t>тов. бетон, т.м</t>
    </r>
    <r>
      <rPr>
        <b/>
        <vertAlign val="superscript"/>
        <sz val="12"/>
        <rFont val="Arial"/>
        <family val="2"/>
      </rPr>
      <t>3</t>
    </r>
  </si>
  <si>
    <t>ВСЕГО ПО ПРОЕКТАМ:</t>
  </si>
  <si>
    <t>ООО "Управление промышленных предприятий</t>
  </si>
  <si>
    <t>Проектирование и строительство специального сооружения -  полигона твердых бытовых  отходов на территории городского округа муниципального образования "город Саянск"</t>
  </si>
  <si>
    <t>МКУ Администрация городского округа муниципального образования «город Саянск»</t>
  </si>
  <si>
    <t>Капитальный ремонт ранее закрытого (перепрофилированного) дошкольного образовательного учреждения № 23</t>
  </si>
  <si>
    <t>Строительство городского стадиона</t>
  </si>
  <si>
    <t>Реконструкция основных фондов по водоснабжению, канализованию и теплоснабжению</t>
  </si>
  <si>
    <t>МУП "Водоканал-Сервис", МУП "СТЭП"</t>
  </si>
  <si>
    <t>ВСЕГО ПО МУНИЦИПАЛЬНОМУ ОБРАЗОВАНИЮ</t>
  </si>
  <si>
    <t>Приложение 4.6 к Прогнозу</t>
  </si>
  <si>
    <t>Прогноз на 2015-2017 гг.</t>
  </si>
  <si>
    <t>2017г.</t>
  </si>
  <si>
    <t>Оценка 
2014 г.</t>
  </si>
  <si>
    <t>Факт
2013 г.</t>
  </si>
  <si>
    <t xml:space="preserve"> - ООО "СМУ - 1"</t>
  </si>
  <si>
    <t xml:space="preserve"> - ООО "Наше Дело"</t>
  </si>
  <si>
    <t xml:space="preserve"> - УК "Уют - Плюс"</t>
  </si>
  <si>
    <t>из них: СМСП</t>
  </si>
  <si>
    <t>из них: гос.управление, образование, культура, здравоохранение, ДЮСШ и Мегаполис, СМСП</t>
  </si>
  <si>
    <t>2013г</t>
  </si>
  <si>
    <t>2016г.</t>
  </si>
  <si>
    <t>2017 г.</t>
  </si>
  <si>
    <t>2017 год</t>
  </si>
  <si>
    <t>2015 г.    1 вар.</t>
  </si>
  <si>
    <t>2015 г.    2 вар.</t>
  </si>
  <si>
    <t>стат-1092,171</t>
  </si>
  <si>
    <t>крупн. и средн. предпр.</t>
  </si>
  <si>
    <t>2012г.</t>
  </si>
  <si>
    <t>ООО "Саянскгазобетон"</t>
  </si>
  <si>
    <t>Расширение производства газобетонных блоков ООО "Саянскгазобетон"</t>
  </si>
  <si>
    <t>изделия из бетона, гипса и цемента, млн. усл.кирп.</t>
  </si>
  <si>
    <t>Реконструкция действующих производств ВХ и ПВХ, замена оборудования на более современное и технологичное с расширением мощности производства</t>
  </si>
  <si>
    <t>Срок окупаемости связан с увеличением поставок основного сырья этилена для дополнительного выпуска продукции и выходит за пределы 2017г.</t>
  </si>
  <si>
    <t>Создание новых рабочих мест не предусмотрено</t>
  </si>
  <si>
    <t>факт 2013</t>
  </si>
  <si>
    <t>оценка 2014</t>
  </si>
  <si>
    <t>Срок окупаемости связан с увеличением поставок основного сырья этилена для дополнительного выпуска продукции и выходит за пределы 2017г</t>
  </si>
  <si>
    <t>Изделия из бетона, гипса и цемента</t>
  </si>
  <si>
    <t>Раствор строительный</t>
  </si>
  <si>
    <t>Смесь бетонная</t>
  </si>
  <si>
    <t xml:space="preserve"> колбасные изделия и копчености</t>
  </si>
  <si>
    <t>полуфабрикаты мясные и фарш</t>
  </si>
  <si>
    <t>Приложение 4.7 к Прогнозу</t>
  </si>
  <si>
    <t>ООО "Московский тракт"</t>
  </si>
  <si>
    <t>Генеральный  директор ООО "Московский тракт"                                                            О.В. Леонов</t>
  </si>
  <si>
    <t xml:space="preserve">Загруженность мощностей ТГ по тэ/ээ                                                                      </t>
  </si>
  <si>
    <t>29,8/52,3</t>
  </si>
  <si>
    <t>28,3/46,4</t>
  </si>
  <si>
    <t>29,5/38,5</t>
  </si>
  <si>
    <t>29,4/38,7</t>
  </si>
  <si>
    <t>Отпуск тепловой энергии</t>
  </si>
  <si>
    <t>Отпуск электроэнергии</t>
  </si>
  <si>
    <t>тыс. кВт*ч</t>
  </si>
  <si>
    <t xml:space="preserve"> Генеральный директор ООО "ХимСтройМонтаж"                                 В.А. Приходько</t>
  </si>
  <si>
    <t xml:space="preserve">Руководитель предприятия                                                                            Г. В. Айвазян 
 </t>
  </si>
  <si>
    <t xml:space="preserve">мясо птицы </t>
  </si>
  <si>
    <t xml:space="preserve">        Генеральный директор                                             Н.В. Мельник</t>
  </si>
  <si>
    <t>Перечень инвестиционных проектов, реализация которых предполагается в  2014-2017 гг.</t>
  </si>
  <si>
    <r>
      <t xml:space="preserve">Всего за 2014-2017 гг., 
</t>
    </r>
    <r>
      <rPr>
        <i/>
        <sz val="14"/>
        <rFont val="Arial"/>
        <family val="2"/>
      </rPr>
      <t>в т.ч. по годам:</t>
    </r>
  </si>
  <si>
    <t>Перечень инвестиционных проектов, реализация которых предполагается в 2014-2017 гг.</t>
  </si>
  <si>
    <r>
      <t xml:space="preserve">Всего за 2014-2017 гг., 
</t>
    </r>
    <r>
      <rPr>
        <i/>
        <sz val="12"/>
        <rFont val="Times New Roman"/>
        <family val="1"/>
      </rPr>
      <t>в т.ч. по годам:</t>
    </r>
  </si>
  <si>
    <t>промышленность, %</t>
  </si>
  <si>
    <t>с/х, %</t>
  </si>
  <si>
    <t>строительство, %</t>
  </si>
  <si>
    <t>торговля, %</t>
  </si>
  <si>
    <t>прочие, %</t>
  </si>
  <si>
    <t>СХПл, %</t>
  </si>
  <si>
    <r>
      <t xml:space="preserve">ОАО МК "Саянский", </t>
    </r>
    <r>
      <rPr>
        <sz val="20"/>
        <rFont val="Times New Roman"/>
        <family val="1"/>
      </rPr>
      <t>с 01.07.2009 г. по решению акционеров производство молочной продукции продано в СПК «Окинское» (муниципальное образование «город Зима»), основным видом деятельности ОАО МК «Саянский» стала  сдача в аренду производственных площадей, объектов недвижимости СПК «Окинскому»</t>
    </r>
  </si>
  <si>
    <r>
      <t xml:space="preserve"> </t>
    </r>
    <r>
      <rPr>
        <b/>
        <sz val="20"/>
        <rFont val="Times New Roman"/>
        <family val="1"/>
      </rPr>
      <t>ФКУ "ОИК-8"</t>
    </r>
  </si>
  <si>
    <r>
      <t xml:space="preserve">Сводный перечень инвестиционных проектов, реализация которых предполагается в 2014-2017 гг. 
городской округ муниципального образования "город Саянск"
</t>
    </r>
    <r>
      <rPr>
        <sz val="16"/>
        <rFont val="Arial"/>
        <family val="2"/>
      </rPr>
      <t>(наименование муниципального района, городского округа)</t>
    </r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</si>
</sst>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;[Red]0"/>
    <numFmt numFmtId="170" formatCode="#,##0;[Red]#,##0"/>
    <numFmt numFmtId="171" formatCode="#,##0.0"/>
    <numFmt numFmtId="172" formatCode="0.000"/>
    <numFmt numFmtId="173" formatCode="0.0000"/>
    <numFmt numFmtId="174" formatCode="#,##0.0;[Red]#,##0.0"/>
    <numFmt numFmtId="175" formatCode="#,##0.00;[Red]#,##0.00"/>
    <numFmt numFmtId="176" formatCode="#,##0.000"/>
    <numFmt numFmtId="177" formatCode="#,##0.0000"/>
    <numFmt numFmtId="178" formatCode="#,##0_р_."/>
    <numFmt numFmtId="179" formatCode="_-* #,##0.0_р_._-;\-* #,##0.0_р_._-;_-* &quot;-&quot;_р_._-;_-@_-"/>
    <numFmt numFmtId="180" formatCode="_-* #,##0.000_р_._-;\-* #,##0.000_р_._-;_-* &quot;-&quot;_р_._-;_-@_-"/>
  </numFmts>
  <fonts count="36">
    <font>
      <sz val="10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22"/>
      <name val="Arial Cyr"/>
      <family val="2"/>
    </font>
    <font>
      <sz val="20"/>
      <name val="Times New Roman"/>
      <family val="1"/>
    </font>
    <font>
      <b/>
      <sz val="22"/>
      <name val="Times New Roman"/>
      <family val="1"/>
    </font>
    <font>
      <b/>
      <sz val="20"/>
      <name val="Times New Roman"/>
      <family val="1"/>
    </font>
    <font>
      <sz val="20"/>
      <name val="Arial Cyr"/>
      <family val="0"/>
    </font>
    <font>
      <sz val="16"/>
      <name val="Times New Roman"/>
      <family val="1"/>
    </font>
    <font>
      <sz val="16"/>
      <name val="Arial Cyr"/>
      <family val="0"/>
    </font>
    <font>
      <b/>
      <i/>
      <sz val="12"/>
      <name val="Times New Roman"/>
      <family val="1"/>
    </font>
    <font>
      <b/>
      <sz val="14"/>
      <name val="Arial Cyr"/>
      <family val="0"/>
    </font>
    <font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3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u val="single"/>
      <sz val="12"/>
      <name val="Times New Roman"/>
      <family val="1"/>
    </font>
    <font>
      <u val="single"/>
      <sz val="10"/>
      <name val="Times New Roman"/>
      <family val="1"/>
    </font>
    <font>
      <b/>
      <u val="single"/>
      <sz val="12"/>
      <name val="Times New Roman"/>
      <family val="1"/>
    </font>
    <font>
      <sz val="16"/>
      <name val="Arial"/>
      <family val="2"/>
    </font>
    <font>
      <b/>
      <vertAlign val="superscript"/>
      <sz val="12"/>
      <name val="Arial"/>
      <family val="2"/>
    </font>
    <font>
      <b/>
      <sz val="16"/>
      <name val="Arial Cyr"/>
      <family val="0"/>
    </font>
    <font>
      <sz val="11"/>
      <name val="Times New Roman"/>
      <family val="1"/>
    </font>
    <font>
      <i/>
      <sz val="14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99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 style="thin">
        <color indexed="23"/>
      </right>
      <top style="medium"/>
      <bottom style="dashed">
        <color indexed="55"/>
      </bottom>
    </border>
    <border>
      <left style="thin">
        <color indexed="23"/>
      </left>
      <right style="thin">
        <color indexed="23"/>
      </right>
      <top style="medium"/>
      <bottom style="dashed">
        <color indexed="55"/>
      </bottom>
    </border>
    <border>
      <left style="thin"/>
      <right style="thin">
        <color indexed="23"/>
      </right>
      <top style="dashed">
        <color indexed="55"/>
      </top>
      <bottom style="dashed">
        <color indexed="55"/>
      </bottom>
    </border>
    <border>
      <left style="thin">
        <color indexed="23"/>
      </left>
      <right style="thin">
        <color indexed="23"/>
      </right>
      <top style="dashed">
        <color indexed="55"/>
      </top>
      <bottom style="dashed">
        <color indexed="55"/>
      </bottom>
    </border>
    <border>
      <left style="thin">
        <color indexed="23"/>
      </left>
      <right style="thin"/>
      <top style="dashed">
        <color indexed="55"/>
      </top>
      <bottom style="dashed">
        <color indexed="55"/>
      </bottom>
    </border>
    <border>
      <left style="thin"/>
      <right style="thin">
        <color indexed="23"/>
      </right>
      <top style="dashed">
        <color indexed="55"/>
      </top>
      <bottom style="medium"/>
    </border>
    <border>
      <left style="thin">
        <color indexed="23"/>
      </left>
      <right style="thin">
        <color indexed="23"/>
      </right>
      <top style="dashed">
        <color indexed="55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double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>
        <color indexed="23"/>
      </right>
      <top>
        <color indexed="63"/>
      </top>
      <bottom style="medium"/>
    </border>
    <border>
      <left style="thin">
        <color indexed="23"/>
      </left>
      <right style="thin">
        <color indexed="2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>
        <color indexed="23"/>
      </left>
      <right style="thin"/>
      <top>
        <color indexed="63"/>
      </top>
      <bottom style="medium"/>
    </border>
    <border>
      <left style="medium"/>
      <right style="thin">
        <color indexed="23"/>
      </right>
      <top style="thin"/>
      <bottom style="medium"/>
    </border>
    <border>
      <left style="thin">
        <color indexed="23"/>
      </left>
      <right style="thin">
        <color indexed="23"/>
      </right>
      <top style="thin"/>
      <bottom style="medium"/>
    </border>
    <border>
      <left style="thin">
        <color indexed="23"/>
      </left>
      <right style="thin"/>
      <top style="thin"/>
      <bottom style="medium"/>
    </border>
    <border>
      <left style="thin">
        <color indexed="2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hair"/>
      <right style="hair"/>
      <top style="thin"/>
      <bottom style="thin"/>
    </border>
    <border>
      <left style="thin">
        <color indexed="23"/>
      </left>
      <right style="thin">
        <color indexed="2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 style="medium"/>
    </border>
    <border>
      <left style="thin">
        <color indexed="2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medium"/>
      <bottom style="thin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medium"/>
      <bottom style="thin"/>
    </border>
    <border>
      <left style="thin">
        <color indexed="2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>
        <color indexed="23"/>
      </left>
      <right style="thin">
        <color indexed="2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>
        <color indexed="23"/>
      </right>
      <top style="medium"/>
      <bottom>
        <color indexed="63"/>
      </bottom>
    </border>
    <border>
      <left style="thin"/>
      <right style="thin">
        <color indexed="2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>
        <color indexed="23"/>
      </right>
      <top style="medium"/>
      <bottom>
        <color indexed="63"/>
      </bottom>
    </border>
    <border>
      <left style="medium"/>
      <right style="thin">
        <color indexed="2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>
        <color indexed="2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>
        <color indexed="2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7">
    <xf numFmtId="0" fontId="0" fillId="0" borderId="0" xfId="0" applyAlignment="1">
      <alignment/>
    </xf>
    <xf numFmtId="0" fontId="7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7" fillId="0" borderId="2" xfId="0" applyFont="1" applyBorder="1" applyAlignment="1">
      <alignment horizontal="center"/>
    </xf>
    <xf numFmtId="0" fontId="10" fillId="0" borderId="2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1" fillId="0" borderId="0" xfId="0" applyFont="1" applyFill="1" applyAlignment="1">
      <alignment/>
    </xf>
    <xf numFmtId="0" fontId="7" fillId="0" borderId="3" xfId="0" applyFont="1" applyBorder="1" applyAlignment="1">
      <alignment/>
    </xf>
    <xf numFmtId="0" fontId="7" fillId="0" borderId="4" xfId="0" applyFont="1" applyBorder="1" applyAlignment="1">
      <alignment/>
    </xf>
    <xf numFmtId="0" fontId="10" fillId="0" borderId="4" xfId="0" applyFont="1" applyBorder="1" applyAlignment="1">
      <alignment/>
    </xf>
    <xf numFmtId="0" fontId="4" fillId="0" borderId="0" xfId="0" applyFont="1" applyAlignment="1">
      <alignment horizontal="right" vertical="center" wrapText="1"/>
    </xf>
    <xf numFmtId="0" fontId="4" fillId="0" borderId="0" xfId="0" applyFont="1" applyFill="1" applyAlignment="1">
      <alignment horizontal="right" vertical="center" wrapText="1"/>
    </xf>
    <xf numFmtId="0" fontId="11" fillId="0" borderId="5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1" fillId="0" borderId="1" xfId="0" applyFont="1" applyBorder="1" applyAlignment="1">
      <alignment/>
    </xf>
    <xf numFmtId="0" fontId="21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 vertical="top" wrapText="1"/>
    </xf>
    <xf numFmtId="0" fontId="2" fillId="2" borderId="0" xfId="0" applyFont="1" applyFill="1" applyAlignment="1">
      <alignment horizontal="left" wrapText="1"/>
    </xf>
    <xf numFmtId="0" fontId="2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2" fillId="2" borderId="0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/>
    </xf>
    <xf numFmtId="0" fontId="2" fillId="2" borderId="11" xfId="0" applyFont="1" applyFill="1" applyBorder="1" applyAlignment="1">
      <alignment/>
    </xf>
    <xf numFmtId="0" fontId="2" fillId="2" borderId="9" xfId="0" applyFont="1" applyFill="1" applyBorder="1" applyAlignment="1">
      <alignment horizontal="left" vertical="center" wrapText="1"/>
    </xf>
    <xf numFmtId="0" fontId="15" fillId="2" borderId="9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/>
    </xf>
    <xf numFmtId="0" fontId="13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left" wrapText="1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4" fillId="2" borderId="15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/>
    </xf>
    <xf numFmtId="0" fontId="21" fillId="0" borderId="1" xfId="0" applyFont="1" applyBorder="1" applyAlignment="1">
      <alignment horizontal="center" vertical="center"/>
    </xf>
    <xf numFmtId="164" fontId="21" fillId="3" borderId="1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left" wrapText="1"/>
    </xf>
    <xf numFmtId="0" fontId="9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/>
    </xf>
    <xf numFmtId="0" fontId="10" fillId="0" borderId="1" xfId="0" applyFont="1" applyFill="1" applyBorder="1" applyAlignment="1">
      <alignment/>
    </xf>
    <xf numFmtId="164" fontId="21" fillId="0" borderId="1" xfId="0" applyNumberFormat="1" applyFont="1" applyBorder="1" applyAlignment="1">
      <alignment horizontal="center"/>
    </xf>
    <xf numFmtId="0" fontId="23" fillId="0" borderId="0" xfId="0" applyFont="1" applyAlignment="1">
      <alignment/>
    </xf>
    <xf numFmtId="0" fontId="25" fillId="0" borderId="0" xfId="0" applyFont="1" applyAlignment="1">
      <alignment vertical="center"/>
    </xf>
    <xf numFmtId="0" fontId="24" fillId="0" borderId="17" xfId="0" applyFont="1" applyFill="1" applyBorder="1" applyAlignment="1">
      <alignment vertical="center" wrapText="1"/>
    </xf>
    <xf numFmtId="0" fontId="25" fillId="0" borderId="18" xfId="0" applyFont="1" applyFill="1" applyBorder="1" applyAlignment="1">
      <alignment vertical="center" wrapText="1"/>
    </xf>
    <xf numFmtId="0" fontId="25" fillId="0" borderId="18" xfId="0" applyFont="1" applyFill="1" applyBorder="1" applyAlignment="1">
      <alignment horizontal="center" vertical="center"/>
    </xf>
    <xf numFmtId="0" fontId="25" fillId="0" borderId="19" xfId="0" applyFont="1" applyFill="1" applyBorder="1" applyAlignment="1">
      <alignment vertical="center" wrapText="1"/>
    </xf>
    <xf numFmtId="0" fontId="25" fillId="0" borderId="20" xfId="0" applyFont="1" applyFill="1" applyBorder="1" applyAlignment="1">
      <alignment vertical="center" wrapText="1"/>
    </xf>
    <xf numFmtId="0" fontId="25" fillId="0" borderId="15" xfId="0" applyFont="1" applyFill="1" applyBorder="1" applyAlignment="1">
      <alignment vertical="center" wrapText="1"/>
    </xf>
    <xf numFmtId="2" fontId="25" fillId="0" borderId="18" xfId="0" applyNumberFormat="1" applyFont="1" applyFill="1" applyBorder="1" applyAlignment="1">
      <alignment horizontal="center" vertical="center"/>
    </xf>
    <xf numFmtId="0" fontId="26" fillId="0" borderId="18" xfId="0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vertical="center" wrapText="1"/>
    </xf>
    <xf numFmtId="0" fontId="24" fillId="0" borderId="18" xfId="0" applyFont="1" applyFill="1" applyBorder="1" applyAlignment="1">
      <alignment horizontal="center" vertical="center"/>
    </xf>
    <xf numFmtId="0" fontId="25" fillId="0" borderId="19" xfId="0" applyFont="1" applyFill="1" applyBorder="1" applyAlignment="1">
      <alignment horizontal="left" vertical="center" wrapText="1"/>
    </xf>
    <xf numFmtId="2" fontId="24" fillId="0" borderId="18" xfId="0" applyNumberFormat="1" applyFont="1" applyFill="1" applyBorder="1" applyAlignment="1">
      <alignment horizontal="center" vertical="center"/>
    </xf>
    <xf numFmtId="164" fontId="25" fillId="0" borderId="18" xfId="0" applyNumberFormat="1" applyFont="1" applyFill="1" applyBorder="1" applyAlignment="1">
      <alignment horizontal="center" vertical="center"/>
    </xf>
    <xf numFmtId="0" fontId="24" fillId="0" borderId="21" xfId="0" applyFont="1" applyFill="1" applyBorder="1" applyAlignment="1">
      <alignment vertical="center" wrapText="1"/>
    </xf>
    <xf numFmtId="1" fontId="24" fillId="0" borderId="21" xfId="0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 vertical="center"/>
    </xf>
    <xf numFmtId="1" fontId="25" fillId="0" borderId="0" xfId="0" applyNumberFormat="1" applyFont="1" applyFill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3" fillId="0" borderId="0" xfId="0" applyFont="1" applyBorder="1" applyAlignment="1">
      <alignment/>
    </xf>
    <xf numFmtId="0" fontId="7" fillId="3" borderId="1" xfId="0" applyFont="1" applyFill="1" applyBorder="1" applyAlignment="1">
      <alignment horizontal="left"/>
    </xf>
    <xf numFmtId="0" fontId="8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9" fillId="0" borderId="0" xfId="0" applyFont="1" applyFill="1" applyAlignment="1">
      <alignment horizontal="right" vertical="center" wrapText="1"/>
    </xf>
    <xf numFmtId="0" fontId="25" fillId="0" borderId="24" xfId="0" applyFont="1" applyFill="1" applyBorder="1" applyAlignment="1">
      <alignment horizontal="center" vertical="center"/>
    </xf>
    <xf numFmtId="0" fontId="22" fillId="0" borderId="15" xfId="0" applyFont="1" applyBorder="1" applyAlignment="1">
      <alignment horizontal="center" vertical="center" wrapText="1"/>
    </xf>
    <xf numFmtId="0" fontId="24" fillId="0" borderId="25" xfId="0" applyFont="1" applyFill="1" applyBorder="1" applyAlignment="1">
      <alignment horizontal="center" vertical="center" wrapText="1"/>
    </xf>
    <xf numFmtId="164" fontId="24" fillId="0" borderId="25" xfId="0" applyNumberFormat="1" applyFont="1" applyFill="1" applyBorder="1" applyAlignment="1">
      <alignment horizontal="center" vertical="center" wrapText="1"/>
    </xf>
    <xf numFmtId="1" fontId="24" fillId="0" borderId="25" xfId="0" applyNumberFormat="1" applyFont="1" applyFill="1" applyBorder="1" applyAlignment="1">
      <alignment horizontal="center" vertical="center" wrapText="1"/>
    </xf>
    <xf numFmtId="164" fontId="24" fillId="0" borderId="24" xfId="0" applyNumberFormat="1" applyFont="1" applyFill="1" applyBorder="1" applyAlignment="1">
      <alignment horizontal="center" vertical="center"/>
    </xf>
    <xf numFmtId="1" fontId="24" fillId="0" borderId="24" xfId="0" applyNumberFormat="1" applyFont="1" applyFill="1" applyBorder="1" applyAlignment="1">
      <alignment horizontal="center" vertical="center"/>
    </xf>
    <xf numFmtId="172" fontId="24" fillId="0" borderId="24" xfId="0" applyNumberFormat="1" applyFont="1" applyFill="1" applyBorder="1" applyAlignment="1">
      <alignment horizontal="center" vertical="center"/>
    </xf>
    <xf numFmtId="2" fontId="24" fillId="0" borderId="24" xfId="0" applyNumberFormat="1" applyFont="1" applyFill="1" applyBorder="1" applyAlignment="1">
      <alignment horizontal="center" vertical="center"/>
    </xf>
    <xf numFmtId="0" fontId="25" fillId="0" borderId="18" xfId="0" applyFont="1" applyFill="1" applyBorder="1" applyAlignment="1">
      <alignment vertical="center"/>
    </xf>
    <xf numFmtId="0" fontId="26" fillId="0" borderId="24" xfId="0" applyFont="1" applyFill="1" applyBorder="1" applyAlignment="1">
      <alignment horizontal="center" vertical="center"/>
    </xf>
    <xf numFmtId="164" fontId="26" fillId="0" borderId="24" xfId="0" applyNumberFormat="1" applyFont="1" applyFill="1" applyBorder="1" applyAlignment="1">
      <alignment horizontal="center" vertical="center"/>
    </xf>
    <xf numFmtId="1" fontId="26" fillId="0" borderId="24" xfId="0" applyNumberFormat="1" applyFont="1" applyFill="1" applyBorder="1" applyAlignment="1">
      <alignment horizontal="center" vertical="center"/>
    </xf>
    <xf numFmtId="172" fontId="26" fillId="0" borderId="24" xfId="0" applyNumberFormat="1" applyFont="1" applyFill="1" applyBorder="1" applyAlignment="1">
      <alignment horizontal="center" vertical="center"/>
    </xf>
    <xf numFmtId="164" fontId="25" fillId="0" borderId="24" xfId="0" applyNumberFormat="1" applyFont="1" applyFill="1" applyBorder="1" applyAlignment="1">
      <alignment horizontal="center" vertical="center"/>
    </xf>
    <xf numFmtId="2" fontId="26" fillId="0" borderId="18" xfId="0" applyNumberFormat="1" applyFont="1" applyFill="1" applyBorder="1" applyAlignment="1">
      <alignment horizontal="center" vertical="center"/>
    </xf>
    <xf numFmtId="164" fontId="25" fillId="0" borderId="18" xfId="0" applyNumberFormat="1" applyFont="1" applyFill="1" applyBorder="1" applyAlignment="1">
      <alignment vertical="center"/>
    </xf>
    <xf numFmtId="1" fontId="25" fillId="0" borderId="18" xfId="0" applyNumberFormat="1" applyFont="1" applyFill="1" applyBorder="1" applyAlignment="1">
      <alignment horizontal="center" vertical="center"/>
    </xf>
    <xf numFmtId="9" fontId="25" fillId="0" borderId="18" xfId="0" applyNumberFormat="1" applyFont="1" applyFill="1" applyBorder="1" applyAlignment="1">
      <alignment horizontal="center" vertical="center"/>
    </xf>
    <xf numFmtId="0" fontId="25" fillId="0" borderId="26" xfId="0" applyFont="1" applyFill="1" applyBorder="1" applyAlignment="1">
      <alignment horizontal="center" vertical="center"/>
    </xf>
    <xf numFmtId="0" fontId="25" fillId="0" borderId="26" xfId="0" applyFont="1" applyFill="1" applyBorder="1" applyAlignment="1">
      <alignment vertical="center"/>
    </xf>
    <xf numFmtId="164" fontId="24" fillId="0" borderId="21" xfId="0" applyNumberFormat="1" applyFont="1" applyFill="1" applyBorder="1" applyAlignment="1">
      <alignment horizontal="center" vertical="center"/>
    </xf>
    <xf numFmtId="172" fontId="24" fillId="0" borderId="17" xfId="0" applyNumberFormat="1" applyFont="1" applyFill="1" applyBorder="1" applyAlignment="1">
      <alignment horizontal="center" vertical="center" wrapText="1"/>
    </xf>
    <xf numFmtId="1" fontId="24" fillId="0" borderId="17" xfId="0" applyNumberFormat="1" applyFont="1" applyFill="1" applyBorder="1" applyAlignment="1">
      <alignment horizontal="center" vertical="center"/>
    </xf>
    <xf numFmtId="1" fontId="24" fillId="0" borderId="18" xfId="0" applyNumberFormat="1" applyFont="1" applyFill="1" applyBorder="1" applyAlignment="1">
      <alignment horizontal="center" vertical="center"/>
    </xf>
    <xf numFmtId="1" fontId="26" fillId="0" borderId="18" xfId="0" applyNumberFormat="1" applyFont="1" applyFill="1" applyBorder="1" applyAlignment="1">
      <alignment horizontal="center" vertical="center"/>
    </xf>
    <xf numFmtId="172" fontId="25" fillId="0" borderId="18" xfId="0" applyNumberFormat="1" applyFont="1" applyFill="1" applyBorder="1" applyAlignment="1">
      <alignment horizontal="center" vertical="center"/>
    </xf>
    <xf numFmtId="164" fontId="25" fillId="0" borderId="26" xfId="0" applyNumberFormat="1" applyFont="1" applyFill="1" applyBorder="1" applyAlignment="1">
      <alignment vertical="center"/>
    </xf>
    <xf numFmtId="2" fontId="25" fillId="0" borderId="26" xfId="0" applyNumberFormat="1" applyFont="1" applyFill="1" applyBorder="1" applyAlignment="1">
      <alignment horizontal="center" vertical="center"/>
    </xf>
    <xf numFmtId="1" fontId="25" fillId="0" borderId="26" xfId="0" applyNumberFormat="1" applyFont="1" applyFill="1" applyBorder="1" applyAlignment="1">
      <alignment horizontal="center" vertical="center"/>
    </xf>
    <xf numFmtId="172" fontId="24" fillId="0" borderId="21" xfId="0" applyNumberFormat="1" applyFont="1" applyFill="1" applyBorder="1" applyAlignment="1">
      <alignment horizontal="center" vertical="center"/>
    </xf>
    <xf numFmtId="0" fontId="26" fillId="0" borderId="16" xfId="0" applyFont="1" applyFill="1" applyBorder="1" applyAlignment="1">
      <alignment horizontal="left" vertical="center" wrapText="1"/>
    </xf>
    <xf numFmtId="0" fontId="26" fillId="0" borderId="16" xfId="0" applyFont="1" applyFill="1" applyBorder="1" applyAlignment="1">
      <alignment vertical="center" wrapText="1"/>
    </xf>
    <xf numFmtId="0" fontId="26" fillId="0" borderId="19" xfId="0" applyFont="1" applyFill="1" applyBorder="1" applyAlignment="1">
      <alignment vertical="center" wrapText="1"/>
    </xf>
    <xf numFmtId="0" fontId="24" fillId="0" borderId="16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/>
    </xf>
    <xf numFmtId="0" fontId="2" fillId="2" borderId="1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/>
    </xf>
    <xf numFmtId="0" fontId="2" fillId="2" borderId="28" xfId="0" applyFont="1" applyFill="1" applyBorder="1" applyAlignment="1">
      <alignment/>
    </xf>
    <xf numFmtId="0" fontId="2" fillId="2" borderId="15" xfId="0" applyFont="1" applyFill="1" applyBorder="1" applyAlignment="1">
      <alignment/>
    </xf>
    <xf numFmtId="0" fontId="2" fillId="2" borderId="29" xfId="0" applyFont="1" applyFill="1" applyBorder="1" applyAlignment="1">
      <alignment/>
    </xf>
    <xf numFmtId="0" fontId="2" fillId="2" borderId="30" xfId="0" applyFont="1" applyFill="1" applyBorder="1" applyAlignment="1">
      <alignment/>
    </xf>
    <xf numFmtId="0" fontId="28" fillId="2" borderId="0" xfId="0" applyFont="1" applyFill="1" applyBorder="1" applyAlignment="1">
      <alignment horizontal="left" vertical="center" wrapText="1"/>
    </xf>
    <xf numFmtId="0" fontId="28" fillId="2" borderId="0" xfId="0" applyFont="1" applyFill="1" applyBorder="1" applyAlignment="1">
      <alignment/>
    </xf>
    <xf numFmtId="0" fontId="2" fillId="2" borderId="1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0" fontId="4" fillId="2" borderId="14" xfId="0" applyFont="1" applyFill="1" applyBorder="1" applyAlignment="1">
      <alignment horizontal="left" vertical="center" wrapText="1"/>
    </xf>
    <xf numFmtId="0" fontId="18" fillId="0" borderId="1" xfId="0" applyFont="1" applyBorder="1" applyAlignment="1">
      <alignment horizontal="center" vertical="center"/>
    </xf>
    <xf numFmtId="0" fontId="2" fillId="2" borderId="27" xfId="0" applyFont="1" applyFill="1" applyBorder="1" applyAlignment="1">
      <alignment vertical="center"/>
    </xf>
    <xf numFmtId="0" fontId="2" fillId="2" borderId="15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31" xfId="0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2" xfId="0" applyFont="1" applyFill="1" applyBorder="1" applyAlignment="1">
      <alignment vertical="center"/>
    </xf>
    <xf numFmtId="0" fontId="4" fillId="2" borderId="33" xfId="0" applyFont="1" applyFill="1" applyBorder="1" applyAlignment="1">
      <alignment horizontal="left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/>
    </xf>
    <xf numFmtId="0" fontId="2" fillId="2" borderId="32" xfId="0" applyFont="1" applyFill="1" applyBorder="1" applyAlignment="1">
      <alignment/>
    </xf>
    <xf numFmtId="0" fontId="2" fillId="2" borderId="34" xfId="0" applyFont="1" applyFill="1" applyBorder="1" applyAlignment="1">
      <alignment/>
    </xf>
    <xf numFmtId="0" fontId="2" fillId="2" borderId="36" xfId="0" applyFont="1" applyFill="1" applyBorder="1" applyAlignment="1">
      <alignment/>
    </xf>
    <xf numFmtId="1" fontId="4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2" fillId="2" borderId="37" xfId="0" applyFont="1" applyFill="1" applyBorder="1" applyAlignment="1">
      <alignment horizontal="left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/>
    </xf>
    <xf numFmtId="0" fontId="2" fillId="2" borderId="39" xfId="0" applyFont="1" applyFill="1" applyBorder="1" applyAlignment="1">
      <alignment/>
    </xf>
    <xf numFmtId="0" fontId="2" fillId="2" borderId="40" xfId="0" applyFont="1" applyFill="1" applyBorder="1" applyAlignment="1">
      <alignment/>
    </xf>
    <xf numFmtId="0" fontId="5" fillId="2" borderId="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 vertical="justify" wrapText="1"/>
    </xf>
    <xf numFmtId="0" fontId="18" fillId="0" borderId="1" xfId="0" applyFont="1" applyBorder="1" applyAlignment="1">
      <alignment/>
    </xf>
    <xf numFmtId="1" fontId="21" fillId="0" borderId="1" xfId="0" applyNumberFormat="1" applyFont="1" applyBorder="1" applyAlignment="1">
      <alignment horizontal="center"/>
    </xf>
    <xf numFmtId="1" fontId="21" fillId="3" borderId="1" xfId="0" applyNumberFormat="1" applyFont="1" applyFill="1" applyBorder="1" applyAlignment="1">
      <alignment horizontal="center"/>
    </xf>
    <xf numFmtId="0" fontId="18" fillId="0" borderId="1" xfId="0" applyFont="1" applyBorder="1" applyAlignment="1">
      <alignment horizontal="center" wrapText="1"/>
    </xf>
    <xf numFmtId="164" fontId="18" fillId="3" borderId="1" xfId="0" applyNumberFormat="1" applyFont="1" applyFill="1" applyBorder="1" applyAlignment="1">
      <alignment horizontal="center" wrapText="1"/>
    </xf>
    <xf numFmtId="172" fontId="25" fillId="0" borderId="24" xfId="0" applyNumberFormat="1" applyFont="1" applyFill="1" applyBorder="1" applyAlignment="1">
      <alignment horizontal="center" vertical="center"/>
    </xf>
    <xf numFmtId="2" fontId="25" fillId="0" borderId="24" xfId="0" applyNumberFormat="1" applyFont="1" applyFill="1" applyBorder="1" applyAlignment="1">
      <alignment horizontal="center" vertical="center"/>
    </xf>
    <xf numFmtId="0" fontId="7" fillId="3" borderId="22" xfId="0" applyFont="1" applyFill="1" applyBorder="1" applyAlignment="1">
      <alignment horizontal="center" vertical="center"/>
    </xf>
    <xf numFmtId="0" fontId="7" fillId="3" borderId="42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vertical="center"/>
    </xf>
    <xf numFmtId="2" fontId="25" fillId="0" borderId="18" xfId="0" applyNumberFormat="1" applyFont="1" applyFill="1" applyBorder="1" applyAlignment="1">
      <alignment vertical="center"/>
    </xf>
    <xf numFmtId="0" fontId="23" fillId="0" borderId="0" xfId="0" applyFont="1" applyAlignment="1">
      <alignment horizontal="left" wrapText="1"/>
    </xf>
    <xf numFmtId="164" fontId="23" fillId="0" borderId="0" xfId="0" applyNumberFormat="1" applyFont="1" applyAlignment="1">
      <alignment/>
    </xf>
    <xf numFmtId="0" fontId="18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4" fillId="2" borderId="43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25" fillId="0" borderId="1" xfId="0" applyFont="1" applyFill="1" applyBorder="1" applyAlignment="1">
      <alignment horizontal="center" vertical="center" wrapText="1"/>
    </xf>
    <xf numFmtId="0" fontId="26" fillId="0" borderId="20" xfId="0" applyFont="1" applyFill="1" applyBorder="1" applyAlignment="1">
      <alignment vertical="center" wrapText="1"/>
    </xf>
    <xf numFmtId="2" fontId="26" fillId="0" borderId="24" xfId="0" applyNumberFormat="1" applyFont="1" applyFill="1" applyBorder="1" applyAlignment="1">
      <alignment horizontal="center" vertical="center"/>
    </xf>
    <xf numFmtId="0" fontId="24" fillId="0" borderId="24" xfId="0" applyFont="1" applyFill="1" applyBorder="1" applyAlignment="1">
      <alignment horizontal="center" vertical="center"/>
    </xf>
    <xf numFmtId="164" fontId="25" fillId="0" borderId="44" xfId="0" applyNumberFormat="1" applyFont="1" applyFill="1" applyBorder="1" applyAlignment="1">
      <alignment horizontal="center" vertical="center"/>
    </xf>
    <xf numFmtId="172" fontId="25" fillId="0" borderId="44" xfId="0" applyNumberFormat="1" applyFont="1" applyFill="1" applyBorder="1" applyAlignment="1">
      <alignment horizontal="center" vertical="center"/>
    </xf>
    <xf numFmtId="2" fontId="24" fillId="0" borderId="21" xfId="0" applyNumberFormat="1" applyFont="1" applyFill="1" applyBorder="1" applyAlignment="1">
      <alignment horizontal="center" vertical="center"/>
    </xf>
    <xf numFmtId="2" fontId="24" fillId="0" borderId="25" xfId="0" applyNumberFormat="1" applyFont="1" applyFill="1" applyBorder="1" applyAlignment="1">
      <alignment horizontal="center" vertical="center" wrapText="1"/>
    </xf>
    <xf numFmtId="1" fontId="26" fillId="0" borderId="17" xfId="0" applyNumberFormat="1" applyFont="1" applyFill="1" applyBorder="1" applyAlignment="1">
      <alignment horizontal="center" vertical="center"/>
    </xf>
    <xf numFmtId="1" fontId="25" fillId="0" borderId="17" xfId="0" applyNumberFormat="1" applyFont="1" applyFill="1" applyBorder="1" applyAlignment="1">
      <alignment horizontal="center" vertical="center"/>
    </xf>
    <xf numFmtId="1" fontId="33" fillId="0" borderId="18" xfId="0" applyNumberFormat="1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vertical="center"/>
    </xf>
    <xf numFmtId="0" fontId="25" fillId="0" borderId="19" xfId="0" applyFont="1" applyFill="1" applyBorder="1" applyAlignment="1">
      <alignment vertical="center"/>
    </xf>
    <xf numFmtId="0" fontId="25" fillId="0" borderId="15" xfId="0" applyFont="1" applyFill="1" applyBorder="1" applyAlignment="1">
      <alignment vertical="center"/>
    </xf>
    <xf numFmtId="0" fontId="25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172" fontId="25" fillId="0" borderId="0" xfId="0" applyNumberFormat="1" applyFont="1" applyFill="1" applyAlignment="1">
      <alignment vertical="center"/>
    </xf>
    <xf numFmtId="0" fontId="25" fillId="0" borderId="1" xfId="0" applyFont="1" applyFill="1" applyBorder="1" applyAlignment="1">
      <alignment vertical="center"/>
    </xf>
    <xf numFmtId="164" fontId="25" fillId="0" borderId="1" xfId="0" applyNumberFormat="1" applyFont="1" applyFill="1" applyBorder="1" applyAlignment="1">
      <alignment horizontal="center" vertical="center"/>
    </xf>
    <xf numFmtId="164" fontId="25" fillId="0" borderId="45" xfId="0" applyNumberFormat="1" applyFont="1" applyFill="1" applyBorder="1" applyAlignment="1">
      <alignment horizontal="center" vertical="center"/>
    </xf>
    <xf numFmtId="172" fontId="24" fillId="0" borderId="14" xfId="0" applyNumberFormat="1" applyFont="1" applyFill="1" applyBorder="1" applyAlignment="1">
      <alignment horizontal="center" vertical="center"/>
    </xf>
    <xf numFmtId="1" fontId="24" fillId="0" borderId="46" xfId="0" applyNumberFormat="1" applyFont="1" applyFill="1" applyBorder="1" applyAlignment="1">
      <alignment horizontal="center" vertical="center"/>
    </xf>
    <xf numFmtId="0" fontId="4" fillId="2" borderId="4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2" fontId="4" fillId="2" borderId="10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2" borderId="48" xfId="0" applyFont="1" applyFill="1" applyBorder="1" applyAlignment="1">
      <alignment horizontal="left" vertical="center" wrapText="1"/>
    </xf>
    <xf numFmtId="0" fontId="2" fillId="2" borderId="48" xfId="0" applyFont="1" applyFill="1" applyBorder="1" applyAlignment="1">
      <alignment horizontal="center" vertical="center" wrapText="1"/>
    </xf>
    <xf numFmtId="0" fontId="21" fillId="2" borderId="27" xfId="0" applyFont="1" applyFill="1" applyBorder="1" applyAlignment="1">
      <alignment/>
    </xf>
    <xf numFmtId="0" fontId="21" fillId="2" borderId="15" xfId="0" applyFont="1" applyFill="1" applyBorder="1" applyAlignment="1">
      <alignment/>
    </xf>
    <xf numFmtId="0" fontId="21" fillId="2" borderId="1" xfId="0" applyFont="1" applyFill="1" applyBorder="1" applyAlignment="1">
      <alignment/>
    </xf>
    <xf numFmtId="0" fontId="22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/>
    </xf>
    <xf numFmtId="0" fontId="4" fillId="2" borderId="38" xfId="0" applyFont="1" applyFill="1" applyBorder="1" applyAlignment="1">
      <alignment horizontal="center" vertical="center" wrapText="1"/>
    </xf>
    <xf numFmtId="0" fontId="4" fillId="2" borderId="39" xfId="0" applyFont="1" applyFill="1" applyBorder="1" applyAlignment="1">
      <alignment horizontal="center" vertical="center" wrapText="1"/>
    </xf>
    <xf numFmtId="41" fontId="4" fillId="0" borderId="15" xfId="0" applyNumberFormat="1" applyFont="1" applyFill="1" applyBorder="1" applyAlignment="1">
      <alignment vertical="center" wrapText="1"/>
    </xf>
    <xf numFmtId="179" fontId="4" fillId="0" borderId="1" xfId="0" applyNumberFormat="1" applyFont="1" applyFill="1" applyBorder="1" applyAlignment="1">
      <alignment vertical="center" wrapText="1"/>
    </xf>
    <xf numFmtId="41" fontId="4" fillId="0" borderId="1" xfId="0" applyNumberFormat="1" applyFont="1" applyFill="1" applyBorder="1" applyAlignment="1">
      <alignment horizontal="center" vertical="center"/>
    </xf>
    <xf numFmtId="41" fontId="2" fillId="0" borderId="1" xfId="0" applyNumberFormat="1" applyFont="1" applyFill="1" applyBorder="1" applyAlignment="1">
      <alignment horizontal="center" vertical="center"/>
    </xf>
    <xf numFmtId="41" fontId="2" fillId="0" borderId="30" xfId="0" applyNumberFormat="1" applyFont="1" applyFill="1" applyBorder="1" applyAlignment="1">
      <alignment horizontal="center" vertical="center"/>
    </xf>
    <xf numFmtId="41" fontId="4" fillId="0" borderId="1" xfId="0" applyNumberFormat="1" applyFont="1" applyFill="1" applyBorder="1" applyAlignment="1">
      <alignment vertical="center" wrapText="1"/>
    </xf>
    <xf numFmtId="41" fontId="4" fillId="0" borderId="30" xfId="0" applyNumberFormat="1" applyFont="1" applyFill="1" applyBorder="1" applyAlignment="1">
      <alignment vertical="center" wrapText="1"/>
    </xf>
    <xf numFmtId="180" fontId="4" fillId="0" borderId="1" xfId="0" applyNumberFormat="1" applyFont="1" applyFill="1" applyBorder="1" applyAlignment="1">
      <alignment vertical="center" wrapText="1"/>
    </xf>
    <xf numFmtId="179" fontId="2" fillId="0" borderId="1" xfId="0" applyNumberFormat="1" applyFont="1" applyFill="1" applyBorder="1" applyAlignment="1">
      <alignment vertical="center" wrapText="1"/>
    </xf>
    <xf numFmtId="41" fontId="2" fillId="0" borderId="1" xfId="0" applyNumberFormat="1" applyFont="1" applyFill="1" applyBorder="1" applyAlignment="1">
      <alignment vertical="center"/>
    </xf>
    <xf numFmtId="41" fontId="4" fillId="0" borderId="30" xfId="0" applyNumberFormat="1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 wrapText="1"/>
    </xf>
    <xf numFmtId="164" fontId="25" fillId="0" borderId="0" xfId="0" applyNumberFormat="1" applyFont="1" applyAlignment="1">
      <alignment horizontal="center" vertical="center"/>
    </xf>
    <xf numFmtId="164" fontId="25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2" fontId="7" fillId="3" borderId="1" xfId="0" applyNumberFormat="1" applyFont="1" applyFill="1" applyBorder="1" applyAlignment="1">
      <alignment horizontal="center"/>
    </xf>
    <xf numFmtId="0" fontId="7" fillId="0" borderId="22" xfId="0" applyFont="1" applyBorder="1" applyAlignment="1">
      <alignment wrapText="1"/>
    </xf>
    <xf numFmtId="164" fontId="7" fillId="0" borderId="22" xfId="0" applyNumberFormat="1" applyFont="1" applyBorder="1" applyAlignment="1">
      <alignment/>
    </xf>
    <xf numFmtId="2" fontId="7" fillId="3" borderId="22" xfId="0" applyNumberFormat="1" applyFont="1" applyFill="1" applyBorder="1" applyAlignment="1">
      <alignment horizontal="center"/>
    </xf>
    <xf numFmtId="0" fontId="9" fillId="0" borderId="22" xfId="0" applyFont="1" applyBorder="1" applyAlignment="1">
      <alignment wrapText="1"/>
    </xf>
    <xf numFmtId="0" fontId="9" fillId="0" borderId="22" xfId="0" applyFont="1" applyBorder="1" applyAlignment="1">
      <alignment horizontal="center" wrapText="1"/>
    </xf>
    <xf numFmtId="2" fontId="7" fillId="0" borderId="22" xfId="0" applyNumberFormat="1" applyFont="1" applyFill="1" applyBorder="1" applyAlignment="1">
      <alignment/>
    </xf>
    <xf numFmtId="164" fontId="7" fillId="0" borderId="22" xfId="0" applyNumberFormat="1" applyFont="1" applyBorder="1" applyAlignment="1">
      <alignment vertical="center"/>
    </xf>
    <xf numFmtId="2" fontId="7" fillId="3" borderId="22" xfId="0" applyNumberFormat="1" applyFont="1" applyFill="1" applyBorder="1" applyAlignment="1">
      <alignment horizontal="center" vertical="center"/>
    </xf>
    <xf numFmtId="0" fontId="7" fillId="0" borderId="22" xfId="0" applyFont="1" applyBorder="1" applyAlignment="1">
      <alignment horizontal="center" vertical="center" wrapText="1"/>
    </xf>
    <xf numFmtId="0" fontId="9" fillId="3" borderId="22" xfId="0" applyFont="1" applyFill="1" applyBorder="1" applyAlignment="1">
      <alignment wrapText="1"/>
    </xf>
    <xf numFmtId="164" fontId="7" fillId="3" borderId="22" xfId="0" applyNumberFormat="1" applyFont="1" applyFill="1" applyBorder="1" applyAlignment="1">
      <alignment/>
    </xf>
    <xf numFmtId="0" fontId="9" fillId="0" borderId="22" xfId="0" applyFont="1" applyBorder="1" applyAlignment="1">
      <alignment vertical="top" wrapText="1"/>
    </xf>
    <xf numFmtId="0" fontId="9" fillId="0" borderId="22" xfId="0" applyFont="1" applyBorder="1" applyAlignment="1">
      <alignment vertical="center" wrapText="1"/>
    </xf>
    <xf numFmtId="0" fontId="9" fillId="0" borderId="22" xfId="0" applyFont="1" applyFill="1" applyBorder="1" applyAlignment="1">
      <alignment vertical="center" wrapText="1"/>
    </xf>
    <xf numFmtId="0" fontId="7" fillId="0" borderId="2" xfId="0" applyFont="1" applyBorder="1" applyAlignment="1">
      <alignment horizontal="center" vertical="top" wrapText="1"/>
    </xf>
    <xf numFmtId="164" fontId="7" fillId="0" borderId="22" xfId="0" applyNumberFormat="1" applyFont="1" applyBorder="1" applyAlignment="1">
      <alignment horizontal="center" vertical="center"/>
    </xf>
    <xf numFmtId="164" fontId="7" fillId="0" borderId="22" xfId="0" applyNumberFormat="1" applyFont="1" applyBorder="1" applyAlignment="1">
      <alignment horizontal="center"/>
    </xf>
    <xf numFmtId="0" fontId="9" fillId="0" borderId="22" xfId="0" applyFont="1" applyBorder="1" applyAlignment="1">
      <alignment horizontal="center" vertical="top" wrapText="1"/>
    </xf>
    <xf numFmtId="164" fontId="7" fillId="3" borderId="22" xfId="0" applyNumberFormat="1" applyFont="1" applyFill="1" applyBorder="1" applyAlignment="1">
      <alignment horizontal="center"/>
    </xf>
    <xf numFmtId="0" fontId="7" fillId="0" borderId="22" xfId="0" applyFont="1" applyBorder="1" applyAlignment="1">
      <alignment vertical="center" wrapText="1"/>
    </xf>
    <xf numFmtId="0" fontId="9" fillId="0" borderId="22" xfId="0" applyFont="1" applyFill="1" applyBorder="1" applyAlignment="1">
      <alignment vertical="top" wrapText="1"/>
    </xf>
    <xf numFmtId="0" fontId="7" fillId="0" borderId="22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0" borderId="49" xfId="0" applyFont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164" fontId="7" fillId="3" borderId="22" xfId="0" applyNumberFormat="1" applyFont="1" applyFill="1" applyBorder="1" applyAlignment="1">
      <alignment horizontal="center" vertical="center"/>
    </xf>
    <xf numFmtId="0" fontId="10" fillId="0" borderId="22" xfId="0" applyFont="1" applyBorder="1" applyAlignment="1">
      <alignment/>
    </xf>
    <xf numFmtId="2" fontId="7" fillId="3" borderId="22" xfId="0" applyNumberFormat="1" applyFont="1" applyFill="1" applyBorder="1" applyAlignment="1">
      <alignment/>
    </xf>
    <xf numFmtId="0" fontId="7" fillId="0" borderId="51" xfId="0" applyFont="1" applyFill="1" applyBorder="1" applyAlignment="1">
      <alignment horizontal="center" vertical="center" wrapText="1"/>
    </xf>
    <xf numFmtId="0" fontId="8" fillId="3" borderId="42" xfId="0" applyFont="1" applyFill="1" applyBorder="1" applyAlignment="1">
      <alignment vertical="center" wrapText="1"/>
    </xf>
    <xf numFmtId="0" fontId="7" fillId="3" borderId="42" xfId="0" applyFont="1" applyFill="1" applyBorder="1" applyAlignment="1">
      <alignment horizontal="center" vertical="center"/>
    </xf>
    <xf numFmtId="164" fontId="7" fillId="3" borderId="42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3" borderId="42" xfId="0" applyFont="1" applyFill="1" applyBorder="1" applyAlignment="1">
      <alignment wrapText="1"/>
    </xf>
    <xf numFmtId="0" fontId="7" fillId="3" borderId="42" xfId="0" applyFont="1" applyFill="1" applyBorder="1" applyAlignment="1">
      <alignment horizontal="center" vertical="center" wrapText="1"/>
    </xf>
    <xf numFmtId="164" fontId="7" fillId="3" borderId="42" xfId="0" applyNumberFormat="1" applyFont="1" applyFill="1" applyBorder="1" applyAlignment="1">
      <alignment horizontal="center"/>
    </xf>
    <xf numFmtId="0" fontId="9" fillId="0" borderId="52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1" fontId="7" fillId="0" borderId="22" xfId="0" applyNumberFormat="1" applyFont="1" applyBorder="1" applyAlignment="1">
      <alignment horizontal="center" vertical="center"/>
    </xf>
    <xf numFmtId="1" fontId="7" fillId="0" borderId="22" xfId="0" applyNumberFormat="1" applyFont="1" applyBorder="1" applyAlignment="1">
      <alignment horizontal="center"/>
    </xf>
    <xf numFmtId="164" fontId="10" fillId="0" borderId="23" xfId="0" applyNumberFormat="1" applyFont="1" applyBorder="1" applyAlignment="1">
      <alignment/>
    </xf>
    <xf numFmtId="2" fontId="10" fillId="3" borderId="23" xfId="0" applyNumberFormat="1" applyFont="1" applyFill="1" applyBorder="1" applyAlignment="1">
      <alignment/>
    </xf>
    <xf numFmtId="164" fontId="7" fillId="0" borderId="51" xfId="0" applyNumberFormat="1" applyFont="1" applyBorder="1" applyAlignment="1">
      <alignment horizontal="center"/>
    </xf>
    <xf numFmtId="2" fontId="7" fillId="3" borderId="51" xfId="0" applyNumberFormat="1" applyFont="1" applyFill="1" applyBorder="1" applyAlignment="1">
      <alignment horizontal="center" vertical="center"/>
    </xf>
    <xf numFmtId="164" fontId="7" fillId="3" borderId="53" xfId="0" applyNumberFormat="1" applyFont="1" applyFill="1" applyBorder="1" applyAlignment="1">
      <alignment horizontal="center"/>
    </xf>
    <xf numFmtId="164" fontId="7" fillId="3" borderId="6" xfId="0" applyNumberFormat="1" applyFont="1" applyFill="1" applyBorder="1" applyAlignment="1">
      <alignment horizontal="center"/>
    </xf>
    <xf numFmtId="2" fontId="7" fillId="3" borderId="42" xfId="0" applyNumberFormat="1" applyFont="1" applyFill="1" applyBorder="1" applyAlignment="1">
      <alignment horizontal="center" vertical="center"/>
    </xf>
    <xf numFmtId="2" fontId="7" fillId="3" borderId="5" xfId="0" applyNumberFormat="1" applyFont="1" applyFill="1" applyBorder="1" applyAlignment="1">
      <alignment horizontal="center" vertical="center"/>
    </xf>
    <xf numFmtId="0" fontId="8" fillId="0" borderId="52" xfId="0" applyFont="1" applyBorder="1" applyAlignment="1">
      <alignment wrapText="1"/>
    </xf>
    <xf numFmtId="0" fontId="7" fillId="0" borderId="0" xfId="0" applyFont="1" applyBorder="1" applyAlignment="1">
      <alignment horizontal="center" vertical="center"/>
    </xf>
    <xf numFmtId="164" fontId="7" fillId="0" borderId="0" xfId="0" applyNumberFormat="1" applyFont="1" applyBorder="1" applyAlignment="1">
      <alignment horizontal="center"/>
    </xf>
    <xf numFmtId="2" fontId="7" fillId="0" borderId="0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wrapText="1"/>
    </xf>
    <xf numFmtId="0" fontId="7" fillId="2" borderId="15" xfId="0" applyFont="1" applyFill="1" applyBorder="1" applyAlignment="1">
      <alignment horizontal="left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vertical="center" wrapText="1"/>
    </xf>
    <xf numFmtId="0" fontId="7" fillId="0" borderId="51" xfId="0" applyFont="1" applyBorder="1" applyAlignment="1">
      <alignment horizontal="center"/>
    </xf>
    <xf numFmtId="0" fontId="7" fillId="0" borderId="16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/>
    </xf>
    <xf numFmtId="0" fontId="9" fillId="3" borderId="1" xfId="0" applyFont="1" applyFill="1" applyBorder="1" applyAlignment="1">
      <alignment wrapText="1"/>
    </xf>
    <xf numFmtId="0" fontId="9" fillId="0" borderId="0" xfId="0" applyFont="1" applyBorder="1" applyAlignment="1">
      <alignment wrapText="1"/>
    </xf>
    <xf numFmtId="2" fontId="7" fillId="0" borderId="0" xfId="0" applyNumberFormat="1" applyFont="1" applyBorder="1" applyAlignment="1">
      <alignment/>
    </xf>
    <xf numFmtId="2" fontId="7" fillId="0" borderId="1" xfId="0" applyNumberFormat="1" applyFont="1" applyBorder="1" applyAlignment="1">
      <alignment/>
    </xf>
    <xf numFmtId="0" fontId="7" fillId="0" borderId="16" xfId="0" applyFont="1" applyBorder="1" applyAlignment="1">
      <alignment wrapText="1"/>
    </xf>
    <xf numFmtId="0" fontId="7" fillId="0" borderId="16" xfId="0" applyFont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2" fontId="7" fillId="0" borderId="22" xfId="0" applyNumberFormat="1" applyFont="1" applyFill="1" applyBorder="1" applyAlignment="1">
      <alignment horizontal="center" vertical="center"/>
    </xf>
    <xf numFmtId="0" fontId="7" fillId="0" borderId="51" xfId="0" applyFont="1" applyBorder="1" applyAlignment="1">
      <alignment vertical="center" wrapText="1"/>
    </xf>
    <xf numFmtId="0" fontId="7" fillId="0" borderId="51" xfId="0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2" fontId="7" fillId="0" borderId="51" xfId="0" applyNumberFormat="1" applyFont="1" applyFill="1" applyBorder="1" applyAlignment="1">
      <alignment horizontal="center" vertical="center"/>
    </xf>
    <xf numFmtId="0" fontId="9" fillId="3" borderId="6" xfId="0" applyFont="1" applyFill="1" applyBorder="1" applyAlignment="1">
      <alignment wrapText="1"/>
    </xf>
    <xf numFmtId="164" fontId="7" fillId="3" borderId="54" xfId="0" applyNumberFormat="1" applyFont="1" applyFill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164" fontId="21" fillId="0" borderId="1" xfId="0" applyNumberFormat="1" applyFont="1" applyBorder="1" applyAlignment="1">
      <alignment horizontal="center" vertical="center"/>
    </xf>
    <xf numFmtId="172" fontId="21" fillId="3" borderId="1" xfId="0" applyNumberFormat="1" applyFont="1" applyFill="1" applyBorder="1" applyAlignment="1">
      <alignment horizontal="center"/>
    </xf>
    <xf numFmtId="0" fontId="25" fillId="0" borderId="15" xfId="0" applyFont="1" applyFill="1" applyBorder="1" applyAlignment="1">
      <alignment horizontal="center" vertical="center" wrapText="1"/>
    </xf>
    <xf numFmtId="0" fontId="25" fillId="0" borderId="45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4" fillId="0" borderId="54" xfId="0" applyFont="1" applyFill="1" applyBorder="1" applyAlignment="1">
      <alignment horizontal="center" vertical="center"/>
    </xf>
    <xf numFmtId="0" fontId="24" fillId="0" borderId="55" xfId="0" applyFont="1" applyFill="1" applyBorder="1" applyAlignment="1">
      <alignment horizontal="center" vertical="center"/>
    </xf>
    <xf numFmtId="0" fontId="24" fillId="0" borderId="45" xfId="0" applyFont="1" applyFill="1" applyBorder="1" applyAlignment="1">
      <alignment horizontal="center" vertical="center"/>
    </xf>
    <xf numFmtId="0" fontId="25" fillId="0" borderId="54" xfId="0" applyFont="1" applyFill="1" applyBorder="1" applyAlignment="1">
      <alignment horizontal="center" vertical="center" wrapText="1"/>
    </xf>
    <xf numFmtId="0" fontId="25" fillId="0" borderId="55" xfId="0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 wrapText="1"/>
    </xf>
    <xf numFmtId="0" fontId="25" fillId="0" borderId="56" xfId="0" applyFont="1" applyFill="1" applyBorder="1" applyAlignment="1">
      <alignment horizontal="center" vertical="center"/>
    </xf>
    <xf numFmtId="0" fontId="25" fillId="0" borderId="44" xfId="0" applyFont="1" applyFill="1" applyBorder="1" applyAlignment="1">
      <alignment horizontal="center" vertical="center"/>
    </xf>
    <xf numFmtId="0" fontId="25" fillId="0" borderId="24" xfId="0" applyFont="1" applyFill="1" applyBorder="1" applyAlignment="1">
      <alignment horizontal="center" vertical="center"/>
    </xf>
    <xf numFmtId="0" fontId="8" fillId="0" borderId="57" xfId="0" applyFont="1" applyBorder="1" applyAlignment="1">
      <alignment horizontal="center" vertical="center" wrapText="1"/>
    </xf>
    <xf numFmtId="0" fontId="8" fillId="0" borderId="58" xfId="0" applyFont="1" applyBorder="1" applyAlignment="1">
      <alignment horizontal="center" vertical="center" wrapText="1"/>
    </xf>
    <xf numFmtId="0" fontId="8" fillId="0" borderId="57" xfId="0" applyFont="1" applyBorder="1" applyAlignment="1">
      <alignment horizontal="center" wrapText="1"/>
    </xf>
    <xf numFmtId="0" fontId="8" fillId="0" borderId="58" xfId="0" applyFont="1" applyBorder="1" applyAlignment="1">
      <alignment horizontal="center" wrapText="1"/>
    </xf>
    <xf numFmtId="0" fontId="7" fillId="0" borderId="52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9" fillId="0" borderId="58" xfId="0" applyFont="1" applyBorder="1" applyAlignment="1">
      <alignment vertical="center" wrapText="1"/>
    </xf>
    <xf numFmtId="0" fontId="8" fillId="0" borderId="57" xfId="0" applyFont="1" applyBorder="1" applyAlignment="1">
      <alignment horizontal="left"/>
    </xf>
    <xf numFmtId="0" fontId="8" fillId="0" borderId="58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justify" wrapText="1"/>
    </xf>
    <xf numFmtId="0" fontId="8" fillId="0" borderId="58" xfId="0" applyFont="1" applyBorder="1" applyAlignment="1">
      <alignment horizontal="center" vertical="justify" wrapText="1"/>
    </xf>
    <xf numFmtId="0" fontId="9" fillId="0" borderId="0" xfId="0" applyFont="1" applyFill="1" applyAlignment="1">
      <alignment horizontal="right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59" xfId="0" applyFont="1" applyFill="1" applyBorder="1" applyAlignment="1">
      <alignment horizontal="center" vertical="center" wrapText="1"/>
    </xf>
    <xf numFmtId="0" fontId="4" fillId="2" borderId="60" xfId="0" applyFont="1" applyFill="1" applyBorder="1" applyAlignment="1">
      <alignment horizontal="center" vertical="center" wrapText="1"/>
    </xf>
    <xf numFmtId="0" fontId="4" fillId="2" borderId="61" xfId="0" applyFont="1" applyFill="1" applyBorder="1" applyAlignment="1">
      <alignment horizontal="center" vertical="center" wrapText="1"/>
    </xf>
    <xf numFmtId="0" fontId="4" fillId="2" borderId="62" xfId="0" applyFont="1" applyFill="1" applyBorder="1" applyAlignment="1">
      <alignment horizontal="center" vertical="center" wrapText="1"/>
    </xf>
    <xf numFmtId="0" fontId="4" fillId="2" borderId="63" xfId="0" applyFont="1" applyFill="1" applyBorder="1" applyAlignment="1">
      <alignment horizontal="center" vertical="center" wrapText="1"/>
    </xf>
    <xf numFmtId="0" fontId="4" fillId="2" borderId="64" xfId="0" applyFont="1" applyFill="1" applyBorder="1" applyAlignment="1">
      <alignment horizontal="center" vertical="center" wrapText="1"/>
    </xf>
    <xf numFmtId="0" fontId="4" fillId="2" borderId="65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66" xfId="0" applyFont="1" applyFill="1" applyBorder="1" applyAlignment="1">
      <alignment horizontal="center" vertical="center" wrapText="1"/>
    </xf>
    <xf numFmtId="0" fontId="4" fillId="2" borderId="67" xfId="0" applyFont="1" applyFill="1" applyBorder="1" applyAlignment="1">
      <alignment horizontal="center" vertical="center" wrapText="1"/>
    </xf>
    <xf numFmtId="0" fontId="4" fillId="2" borderId="68" xfId="0" applyFont="1" applyFill="1" applyBorder="1" applyAlignment="1">
      <alignment horizontal="center" vertical="center" wrapText="1"/>
    </xf>
    <xf numFmtId="0" fontId="4" fillId="2" borderId="69" xfId="0" applyFont="1" applyFill="1" applyBorder="1" applyAlignment="1">
      <alignment horizontal="center" vertical="center" wrapText="1"/>
    </xf>
    <xf numFmtId="0" fontId="4" fillId="2" borderId="70" xfId="0" applyFont="1" applyFill="1" applyBorder="1" applyAlignment="1">
      <alignment horizontal="center" vertical="center" wrapText="1"/>
    </xf>
    <xf numFmtId="0" fontId="4" fillId="2" borderId="71" xfId="0" applyFont="1" applyFill="1" applyBorder="1" applyAlignment="1">
      <alignment horizontal="center" vertical="center" wrapText="1"/>
    </xf>
    <xf numFmtId="0" fontId="4" fillId="2" borderId="72" xfId="0" applyFont="1" applyFill="1" applyBorder="1" applyAlignment="1">
      <alignment horizontal="center" vertical="center" wrapText="1"/>
    </xf>
    <xf numFmtId="0" fontId="4" fillId="2" borderId="43" xfId="0" applyFont="1" applyFill="1" applyBorder="1" applyAlignment="1">
      <alignment horizontal="center" vertical="center" wrapText="1"/>
    </xf>
    <xf numFmtId="0" fontId="4" fillId="2" borderId="73" xfId="0" applyFont="1" applyFill="1" applyBorder="1" applyAlignment="1">
      <alignment horizontal="center" vertical="center" wrapText="1"/>
    </xf>
    <xf numFmtId="0" fontId="4" fillId="2" borderId="74" xfId="0" applyFont="1" applyFill="1" applyBorder="1" applyAlignment="1">
      <alignment horizontal="center" vertical="center" wrapText="1"/>
    </xf>
    <xf numFmtId="0" fontId="4" fillId="2" borderId="5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75" xfId="0" applyFont="1" applyFill="1" applyBorder="1" applyAlignment="1">
      <alignment horizontal="center" vertical="center" wrapText="1"/>
    </xf>
    <xf numFmtId="0" fontId="4" fillId="2" borderId="76" xfId="0" applyFont="1" applyFill="1" applyBorder="1" applyAlignment="1">
      <alignment horizontal="center" vertical="center" wrapText="1"/>
    </xf>
    <xf numFmtId="0" fontId="4" fillId="2" borderId="77" xfId="0" applyFont="1" applyFill="1" applyBorder="1" applyAlignment="1">
      <alignment horizontal="center" vertical="center" wrapText="1"/>
    </xf>
    <xf numFmtId="0" fontId="4" fillId="2" borderId="78" xfId="0" applyFont="1" applyFill="1" applyBorder="1" applyAlignment="1">
      <alignment horizontal="center" vertical="center" wrapText="1"/>
    </xf>
    <xf numFmtId="0" fontId="4" fillId="2" borderId="79" xfId="0" applyFont="1" applyFill="1" applyBorder="1" applyAlignment="1">
      <alignment horizontal="center" vertical="center" wrapText="1"/>
    </xf>
    <xf numFmtId="0" fontId="4" fillId="2" borderId="80" xfId="0" applyFont="1" applyFill="1" applyBorder="1" applyAlignment="1">
      <alignment horizontal="center" vertical="center" wrapText="1"/>
    </xf>
    <xf numFmtId="0" fontId="4" fillId="2" borderId="81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vertical="center" wrapText="1"/>
    </xf>
    <xf numFmtId="0" fontId="2" fillId="2" borderId="19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vertical="center" wrapText="1"/>
    </xf>
    <xf numFmtId="0" fontId="4" fillId="2" borderId="0" xfId="0" applyFont="1" applyFill="1" applyAlignment="1">
      <alignment horizontal="right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wrapText="1"/>
    </xf>
    <xf numFmtId="0" fontId="5" fillId="2" borderId="82" xfId="0" applyFont="1" applyFill="1" applyBorder="1" applyAlignment="1">
      <alignment horizontal="center" vertical="top" wrapText="1"/>
    </xf>
    <xf numFmtId="0" fontId="4" fillId="2" borderId="83" xfId="0" applyFont="1" applyFill="1" applyBorder="1" applyAlignment="1">
      <alignment horizontal="center" vertical="center" wrapText="1"/>
    </xf>
    <xf numFmtId="0" fontId="4" fillId="2" borderId="8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7" fillId="2" borderId="0" xfId="0" applyFont="1" applyFill="1" applyBorder="1" applyAlignment="1">
      <alignment horizontal="left" vertical="center" wrapText="1"/>
    </xf>
    <xf numFmtId="0" fontId="2" fillId="2" borderId="59" xfId="0" applyFont="1" applyFill="1" applyBorder="1" applyAlignment="1">
      <alignment horizontal="center" vertical="center" wrapText="1"/>
    </xf>
    <xf numFmtId="0" fontId="2" fillId="2" borderId="60" xfId="0" applyFont="1" applyFill="1" applyBorder="1" applyAlignment="1">
      <alignment horizontal="center" vertical="center" wrapText="1"/>
    </xf>
    <xf numFmtId="0" fontId="2" fillId="2" borderId="85" xfId="0" applyFont="1" applyFill="1" applyBorder="1" applyAlignment="1">
      <alignment horizontal="center" vertical="center" wrapText="1"/>
    </xf>
    <xf numFmtId="0" fontId="4" fillId="2" borderId="86" xfId="0" applyFont="1" applyFill="1" applyBorder="1" applyAlignment="1">
      <alignment horizontal="center" vertical="center" wrapText="1"/>
    </xf>
    <xf numFmtId="0" fontId="4" fillId="2" borderId="87" xfId="0" applyFont="1" applyFill="1" applyBorder="1" applyAlignment="1">
      <alignment horizontal="center" vertical="center" wrapText="1"/>
    </xf>
    <xf numFmtId="0" fontId="4" fillId="2" borderId="88" xfId="0" applyFont="1" applyFill="1" applyBorder="1" applyAlignment="1">
      <alignment horizontal="center" vertical="center" wrapText="1"/>
    </xf>
    <xf numFmtId="0" fontId="4" fillId="2" borderId="48" xfId="0" applyFont="1" applyFill="1" applyBorder="1" applyAlignment="1">
      <alignment horizontal="center" vertical="center" wrapText="1"/>
    </xf>
    <xf numFmtId="0" fontId="4" fillId="2" borderId="89" xfId="0" applyFont="1" applyFill="1" applyBorder="1" applyAlignment="1">
      <alignment horizontal="center" vertical="center" wrapText="1"/>
    </xf>
    <xf numFmtId="0" fontId="4" fillId="2" borderId="90" xfId="0" applyFont="1" applyFill="1" applyBorder="1" applyAlignment="1">
      <alignment horizontal="center" vertical="center" wrapText="1"/>
    </xf>
    <xf numFmtId="0" fontId="4" fillId="2" borderId="9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92" xfId="0" applyFont="1" applyFill="1" applyBorder="1" applyAlignment="1">
      <alignment horizontal="left" vertical="center" wrapText="1"/>
    </xf>
    <xf numFmtId="0" fontId="2" fillId="2" borderId="60" xfId="0" applyFont="1" applyFill="1" applyBorder="1" applyAlignment="1">
      <alignment horizontal="left" vertical="center" wrapText="1"/>
    </xf>
    <xf numFmtId="0" fontId="2" fillId="2" borderId="86" xfId="0" applyFont="1" applyFill="1" applyBorder="1" applyAlignment="1">
      <alignment horizontal="left" vertical="center" wrapText="1"/>
    </xf>
    <xf numFmtId="0" fontId="2" fillId="2" borderId="59" xfId="0" applyFont="1" applyFill="1" applyBorder="1" applyAlignment="1">
      <alignment horizontal="left" vertical="center" wrapText="1"/>
    </xf>
    <xf numFmtId="0" fontId="2" fillId="2" borderId="85" xfId="0" applyFont="1" applyFill="1" applyBorder="1" applyAlignment="1">
      <alignment horizontal="left" vertical="center" wrapText="1"/>
    </xf>
    <xf numFmtId="0" fontId="4" fillId="2" borderId="93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4" fillId="2" borderId="38" xfId="0" applyFont="1" applyFill="1" applyBorder="1" applyAlignment="1">
      <alignment horizontal="center" vertical="center" wrapText="1"/>
    </xf>
    <xf numFmtId="0" fontId="2" fillId="2" borderId="87" xfId="0" applyFont="1" applyFill="1" applyBorder="1" applyAlignment="1">
      <alignment horizontal="center" vertical="center" wrapText="1"/>
    </xf>
    <xf numFmtId="0" fontId="2" fillId="2" borderId="88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wrapText="1"/>
    </xf>
    <xf numFmtId="0" fontId="2" fillId="2" borderId="94" xfId="0" applyFont="1" applyFill="1" applyBorder="1" applyAlignment="1">
      <alignment horizontal="left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4" fillId="2" borderId="95" xfId="0" applyFont="1" applyFill="1" applyBorder="1" applyAlignment="1">
      <alignment horizontal="center" vertical="center" wrapText="1"/>
    </xf>
    <xf numFmtId="0" fontId="2" fillId="2" borderId="92" xfId="0" applyFont="1" applyFill="1" applyBorder="1" applyAlignment="1">
      <alignment horizontal="center" vertical="center" wrapText="1"/>
    </xf>
    <xf numFmtId="0" fontId="2" fillId="2" borderId="86" xfId="0" applyFont="1" applyFill="1" applyBorder="1" applyAlignment="1">
      <alignment horizontal="center" vertical="center" wrapText="1"/>
    </xf>
    <xf numFmtId="0" fontId="29" fillId="2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left" vertical="justify" wrapText="1"/>
    </xf>
    <xf numFmtId="0" fontId="4" fillId="2" borderId="33" xfId="0" applyFont="1" applyFill="1" applyBorder="1" applyAlignment="1">
      <alignment horizontal="center" vertical="center" wrapText="1"/>
    </xf>
    <xf numFmtId="0" fontId="22" fillId="0" borderId="96" xfId="0" applyFont="1" applyBorder="1" applyAlignment="1">
      <alignment horizontal="left" vertical="center"/>
    </xf>
    <xf numFmtId="0" fontId="22" fillId="0" borderId="58" xfId="0" applyFont="1" applyBorder="1" applyAlignment="1">
      <alignment horizontal="left" vertical="center"/>
    </xf>
    <xf numFmtId="0" fontId="22" fillId="0" borderId="75" xfId="0" applyFont="1" applyBorder="1" applyAlignment="1">
      <alignment horizontal="left" vertical="center"/>
    </xf>
    <xf numFmtId="0" fontId="22" fillId="0" borderId="63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64" xfId="0" applyFont="1" applyBorder="1" applyAlignment="1">
      <alignment horizontal="left" vertical="center"/>
    </xf>
    <xf numFmtId="0" fontId="22" fillId="0" borderId="97" xfId="0" applyFont="1" applyBorder="1" applyAlignment="1">
      <alignment horizontal="left" vertical="center"/>
    </xf>
    <xf numFmtId="0" fontId="22" fillId="0" borderId="4" xfId="0" applyFont="1" applyBorder="1" applyAlignment="1">
      <alignment horizontal="left" vertical="center"/>
    </xf>
    <xf numFmtId="0" fontId="22" fillId="0" borderId="98" xfId="0" applyFont="1" applyBorder="1" applyAlignment="1">
      <alignment horizontal="left" vertical="center"/>
    </xf>
    <xf numFmtId="0" fontId="2" fillId="2" borderId="63" xfId="0" applyFont="1" applyFill="1" applyBorder="1" applyAlignment="1">
      <alignment horizontal="center" vertical="center" wrapText="1"/>
    </xf>
    <xf numFmtId="0" fontId="2" fillId="2" borderId="64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55" xfId="0" applyFont="1" applyFill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left" vertical="center"/>
    </xf>
    <xf numFmtId="0" fontId="21" fillId="0" borderId="19" xfId="0" applyFont="1" applyBorder="1" applyAlignment="1">
      <alignment horizontal="left" vertical="center"/>
    </xf>
    <xf numFmtId="0" fontId="21" fillId="0" borderId="15" xfId="0" applyFont="1" applyBorder="1" applyAlignment="1">
      <alignment horizontal="left" vertical="center"/>
    </xf>
    <xf numFmtId="0" fontId="35" fillId="0" borderId="16" xfId="0" applyFont="1" applyBorder="1" applyAlignment="1">
      <alignment horizontal="left" vertical="center" wrapText="1"/>
    </xf>
    <xf numFmtId="0" fontId="35" fillId="0" borderId="19" xfId="0" applyFont="1" applyBorder="1" applyAlignment="1">
      <alignment horizontal="left" vertical="center" wrapText="1"/>
    </xf>
    <xf numFmtId="0" fontId="35" fillId="0" borderId="15" xfId="0" applyFont="1" applyBorder="1" applyAlignment="1">
      <alignment horizontal="left" vertical="center" wrapText="1"/>
    </xf>
    <xf numFmtId="0" fontId="18" fillId="0" borderId="16" xfId="0" applyFont="1" applyBorder="1" applyAlignment="1">
      <alignment horizontal="left" vertical="center" wrapText="1"/>
    </xf>
    <xf numFmtId="0" fontId="18" fillId="0" borderId="19" xfId="0" applyFont="1" applyBorder="1" applyAlignment="1">
      <alignment horizontal="left" vertical="center" wrapText="1"/>
    </xf>
    <xf numFmtId="0" fontId="18" fillId="0" borderId="15" xfId="0" applyFont="1" applyBorder="1" applyAlignment="1">
      <alignment horizontal="left" vertical="center" wrapText="1"/>
    </xf>
    <xf numFmtId="0" fontId="21" fillId="0" borderId="96" xfId="0" applyFont="1" applyBorder="1" applyAlignment="1">
      <alignment horizontal="left" vertical="center"/>
    </xf>
    <xf numFmtId="0" fontId="21" fillId="0" borderId="58" xfId="0" applyFont="1" applyBorder="1" applyAlignment="1">
      <alignment horizontal="left" vertical="center"/>
    </xf>
    <xf numFmtId="0" fontId="21" fillId="0" borderId="75" xfId="0" applyFont="1" applyBorder="1" applyAlignment="1">
      <alignment horizontal="left" vertical="center"/>
    </xf>
    <xf numFmtId="0" fontId="21" fillId="0" borderId="63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64" xfId="0" applyFont="1" applyBorder="1" applyAlignment="1">
      <alignment horizontal="left" vertical="center"/>
    </xf>
    <xf numFmtId="0" fontId="21" fillId="0" borderId="97" xfId="0" applyFont="1" applyBorder="1" applyAlignment="1">
      <alignment horizontal="left" vertical="center"/>
    </xf>
    <xf numFmtId="0" fontId="21" fillId="0" borderId="4" xfId="0" applyFont="1" applyBorder="1" applyAlignment="1">
      <alignment horizontal="left" vertical="center"/>
    </xf>
    <xf numFmtId="0" fontId="21" fillId="0" borderId="98" xfId="0" applyFont="1" applyBorder="1" applyAlignment="1">
      <alignment horizontal="left" vertical="center"/>
    </xf>
    <xf numFmtId="0" fontId="18" fillId="0" borderId="16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35" fillId="0" borderId="16" xfId="0" applyFont="1" applyBorder="1" applyAlignment="1">
      <alignment horizontal="left" vertical="center"/>
    </xf>
    <xf numFmtId="0" fontId="35" fillId="0" borderId="19" xfId="0" applyFont="1" applyBorder="1" applyAlignment="1">
      <alignment horizontal="left" vertical="center"/>
    </xf>
    <xf numFmtId="0" fontId="35" fillId="0" borderId="15" xfId="0" applyFont="1" applyBorder="1" applyAlignment="1">
      <alignment horizontal="left" vertical="center"/>
    </xf>
    <xf numFmtId="0" fontId="18" fillId="0" borderId="19" xfId="0" applyFont="1" applyBorder="1" applyAlignment="1">
      <alignment vertical="center" wrapText="1"/>
    </xf>
    <xf numFmtId="0" fontId="18" fillId="0" borderId="15" xfId="0" applyFont="1" applyBorder="1" applyAlignment="1">
      <alignment vertical="center" wrapText="1"/>
    </xf>
    <xf numFmtId="0" fontId="21" fillId="0" borderId="16" xfId="0" applyFont="1" applyBorder="1" applyAlignment="1">
      <alignment vertical="center" wrapText="1"/>
    </xf>
    <xf numFmtId="0" fontId="21" fillId="0" borderId="19" xfId="0" applyFont="1" applyBorder="1" applyAlignment="1">
      <alignment vertical="center" wrapText="1"/>
    </xf>
    <xf numFmtId="0" fontId="21" fillId="0" borderId="15" xfId="0" applyFont="1" applyBorder="1" applyAlignment="1">
      <alignment vertical="center" wrapText="1"/>
    </xf>
    <xf numFmtId="0" fontId="14" fillId="0" borderId="0" xfId="0" applyFont="1" applyAlignment="1">
      <alignment horizontal="right" vertical="center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X108"/>
  <sheetViews>
    <sheetView tabSelected="1" view="pageBreakPreview" zoomScale="60" zoomScaleNormal="75" workbookViewId="0" topLeftCell="Y1">
      <selection activeCell="D61" sqref="D61"/>
    </sheetView>
  </sheetViews>
  <sheetFormatPr defaultColWidth="9.00390625" defaultRowHeight="12.75"/>
  <cols>
    <col min="1" max="1" width="34.625" style="81" customWidth="1"/>
    <col min="2" max="2" width="11.125" style="81" customWidth="1"/>
    <col min="3" max="3" width="12.625" style="81" customWidth="1"/>
    <col min="4" max="6" width="11.00390625" style="81" customWidth="1"/>
    <col min="7" max="7" width="11.375" style="81" customWidth="1"/>
    <col min="8" max="8" width="10.875" style="81" customWidth="1"/>
    <col min="9" max="9" width="11.125" style="81" customWidth="1"/>
    <col min="10" max="10" width="13.375" style="81" customWidth="1"/>
    <col min="11" max="13" width="10.25390625" style="81" customWidth="1"/>
    <col min="14" max="14" width="10.875" style="81" customWidth="1"/>
    <col min="15" max="15" width="10.375" style="81" customWidth="1"/>
    <col min="16" max="16" width="10.125" style="81" bestFit="1" customWidth="1"/>
    <col min="17" max="17" width="13.00390625" style="81" bestFit="1" customWidth="1"/>
    <col min="18" max="19" width="9.625" style="81" bestFit="1" customWidth="1"/>
    <col min="20" max="20" width="9.25390625" style="81" customWidth="1"/>
    <col min="21" max="21" width="11.25390625" style="81" customWidth="1"/>
    <col min="22" max="22" width="10.625" style="81" customWidth="1"/>
    <col min="23" max="27" width="9.75390625" style="81" customWidth="1"/>
    <col min="28" max="28" width="10.375" style="81" customWidth="1"/>
    <col min="29" max="29" width="11.375" style="81" customWidth="1"/>
    <col min="30" max="30" width="11.00390625" style="81" customWidth="1"/>
    <col min="31" max="31" width="12.00390625" style="81" customWidth="1"/>
    <col min="32" max="33" width="10.875" style="81" customWidth="1"/>
    <col min="34" max="34" width="11.375" style="81" customWidth="1"/>
    <col min="35" max="35" width="10.75390625" style="81" bestFit="1" customWidth="1"/>
    <col min="36" max="39" width="9.25390625" style="81" bestFit="1" customWidth="1"/>
    <col min="40" max="40" width="10.375" style="81" customWidth="1"/>
    <col min="41" max="43" width="9.125" style="81" customWidth="1"/>
    <col min="44" max="44" width="10.875" style="81" bestFit="1" customWidth="1"/>
    <col min="45" max="45" width="10.875" style="81" customWidth="1"/>
    <col min="46" max="46" width="11.375" style="81" customWidth="1"/>
    <col min="47" max="48" width="11.00390625" style="81" customWidth="1"/>
    <col min="49" max="49" width="10.875" style="81" customWidth="1"/>
    <col min="50" max="50" width="11.25390625" style="81" customWidth="1"/>
    <col min="51" max="16384" width="9.125" style="81" customWidth="1"/>
  </cols>
  <sheetData>
    <row r="1" ht="27" customHeight="1"/>
    <row r="2" spans="2:40" ht="40.5" customHeight="1">
      <c r="B2" s="376" t="s">
        <v>112</v>
      </c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  <c r="O2" s="376"/>
      <c r="P2" s="376"/>
      <c r="Q2" s="376"/>
      <c r="R2" s="376"/>
      <c r="S2" s="376"/>
      <c r="T2" s="376"/>
      <c r="U2" s="376"/>
      <c r="V2" s="376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  <c r="AI2" s="200"/>
      <c r="AJ2" s="370" t="s">
        <v>236</v>
      </c>
      <c r="AK2" s="370"/>
      <c r="AL2" s="370"/>
      <c r="AM2" s="370"/>
      <c r="AN2" s="370"/>
    </row>
    <row r="4" spans="1:42" ht="16.5">
      <c r="A4" s="217"/>
      <c r="B4" s="371" t="s">
        <v>3</v>
      </c>
      <c r="C4" s="371"/>
      <c r="D4" s="371"/>
      <c r="E4" s="371"/>
      <c r="F4" s="371"/>
      <c r="G4" s="371"/>
      <c r="H4" s="372"/>
      <c r="I4" s="373" t="s">
        <v>80</v>
      </c>
      <c r="J4" s="371"/>
      <c r="K4" s="371"/>
      <c r="L4" s="371"/>
      <c r="M4" s="371"/>
      <c r="N4" s="371"/>
      <c r="O4" s="371"/>
      <c r="P4" s="371"/>
      <c r="Q4" s="371"/>
      <c r="R4" s="371"/>
      <c r="S4" s="371"/>
      <c r="T4" s="371"/>
      <c r="U4" s="371"/>
      <c r="V4" s="372"/>
      <c r="W4" s="373" t="s">
        <v>81</v>
      </c>
      <c r="X4" s="371"/>
      <c r="Y4" s="371"/>
      <c r="Z4" s="371"/>
      <c r="AA4" s="371"/>
      <c r="AB4" s="371"/>
      <c r="AC4" s="371"/>
      <c r="AD4" s="371"/>
      <c r="AE4" s="371"/>
      <c r="AF4" s="371"/>
      <c r="AG4" s="371"/>
      <c r="AH4" s="371"/>
      <c r="AI4" s="371"/>
      <c r="AJ4" s="371"/>
      <c r="AK4" s="371"/>
      <c r="AL4" s="371"/>
      <c r="AM4" s="371"/>
      <c r="AN4" s="372"/>
      <c r="AO4" s="82"/>
      <c r="AP4" s="82"/>
    </row>
    <row r="5" spans="1:42" ht="58.5" customHeight="1">
      <c r="A5" s="218"/>
      <c r="B5" s="374" t="s">
        <v>83</v>
      </c>
      <c r="C5" s="374"/>
      <c r="D5" s="374"/>
      <c r="E5" s="374"/>
      <c r="F5" s="374"/>
      <c r="G5" s="374"/>
      <c r="H5" s="375"/>
      <c r="I5" s="367" t="s">
        <v>1</v>
      </c>
      <c r="J5" s="374"/>
      <c r="K5" s="374"/>
      <c r="L5" s="374"/>
      <c r="M5" s="374"/>
      <c r="N5" s="374"/>
      <c r="O5" s="375"/>
      <c r="P5" s="367" t="s">
        <v>94</v>
      </c>
      <c r="Q5" s="374"/>
      <c r="R5" s="374"/>
      <c r="S5" s="374"/>
      <c r="T5" s="374"/>
      <c r="U5" s="374"/>
      <c r="V5" s="375"/>
      <c r="W5" s="367" t="s">
        <v>0</v>
      </c>
      <c r="X5" s="374"/>
      <c r="Y5" s="374"/>
      <c r="Z5" s="374"/>
      <c r="AA5" s="374"/>
      <c r="AB5" s="375"/>
      <c r="AC5" s="367" t="s">
        <v>82</v>
      </c>
      <c r="AD5" s="374"/>
      <c r="AE5" s="374"/>
      <c r="AF5" s="374"/>
      <c r="AG5" s="374"/>
      <c r="AH5" s="375"/>
      <c r="AI5" s="367" t="s">
        <v>99</v>
      </c>
      <c r="AJ5" s="374"/>
      <c r="AK5" s="374"/>
      <c r="AL5" s="374"/>
      <c r="AM5" s="374"/>
      <c r="AN5" s="375"/>
      <c r="AO5" s="82"/>
      <c r="AP5" s="82"/>
    </row>
    <row r="6" spans="1:42" ht="15.75" customHeight="1">
      <c r="A6" s="218"/>
      <c r="B6" s="368" t="s">
        <v>242</v>
      </c>
      <c r="C6" s="368" t="s">
        <v>321</v>
      </c>
      <c r="D6" s="368" t="s">
        <v>320</v>
      </c>
      <c r="E6" s="368" t="s">
        <v>318</v>
      </c>
      <c r="F6" s="368"/>
      <c r="G6" s="368"/>
      <c r="H6" s="368"/>
      <c r="I6" s="368" t="s">
        <v>242</v>
      </c>
      <c r="J6" s="368" t="s">
        <v>321</v>
      </c>
      <c r="K6" s="368" t="s">
        <v>320</v>
      </c>
      <c r="L6" s="368" t="s">
        <v>318</v>
      </c>
      <c r="M6" s="368"/>
      <c r="N6" s="368"/>
      <c r="O6" s="368"/>
      <c r="P6" s="368" t="s">
        <v>242</v>
      </c>
      <c r="Q6" s="368" t="s">
        <v>321</v>
      </c>
      <c r="R6" s="368" t="s">
        <v>320</v>
      </c>
      <c r="S6" s="368" t="s">
        <v>318</v>
      </c>
      <c r="T6" s="368"/>
      <c r="U6" s="368"/>
      <c r="V6" s="368"/>
      <c r="W6" s="369" t="s">
        <v>242</v>
      </c>
      <c r="X6" s="369" t="s">
        <v>321</v>
      </c>
      <c r="Y6" s="369" t="s">
        <v>320</v>
      </c>
      <c r="Z6" s="367" t="s">
        <v>318</v>
      </c>
      <c r="AA6" s="374"/>
      <c r="AB6" s="375"/>
      <c r="AC6" s="369" t="s">
        <v>242</v>
      </c>
      <c r="AD6" s="369" t="s">
        <v>321</v>
      </c>
      <c r="AE6" s="369" t="s">
        <v>320</v>
      </c>
      <c r="AF6" s="367" t="s">
        <v>318</v>
      </c>
      <c r="AG6" s="374"/>
      <c r="AH6" s="375"/>
      <c r="AI6" s="369" t="s">
        <v>242</v>
      </c>
      <c r="AJ6" s="369" t="s">
        <v>321</v>
      </c>
      <c r="AK6" s="369" t="s">
        <v>320</v>
      </c>
      <c r="AL6" s="367" t="s">
        <v>318</v>
      </c>
      <c r="AM6" s="374"/>
      <c r="AN6" s="375"/>
      <c r="AO6" s="82"/>
      <c r="AP6" s="82"/>
    </row>
    <row r="7" spans="1:42" ht="33">
      <c r="A7" s="219"/>
      <c r="B7" s="368"/>
      <c r="C7" s="368"/>
      <c r="D7" s="368"/>
      <c r="E7" s="206" t="s">
        <v>331</v>
      </c>
      <c r="F7" s="206" t="s">
        <v>332</v>
      </c>
      <c r="G7" s="206" t="s">
        <v>254</v>
      </c>
      <c r="H7" s="206" t="s">
        <v>319</v>
      </c>
      <c r="I7" s="368"/>
      <c r="J7" s="368"/>
      <c r="K7" s="368"/>
      <c r="L7" s="206" t="s">
        <v>331</v>
      </c>
      <c r="M7" s="206" t="s">
        <v>332</v>
      </c>
      <c r="N7" s="206" t="s">
        <v>254</v>
      </c>
      <c r="O7" s="206" t="s">
        <v>319</v>
      </c>
      <c r="P7" s="368"/>
      <c r="Q7" s="368"/>
      <c r="R7" s="368"/>
      <c r="S7" s="206" t="s">
        <v>331</v>
      </c>
      <c r="T7" s="206" t="s">
        <v>332</v>
      </c>
      <c r="U7" s="206" t="s">
        <v>254</v>
      </c>
      <c r="V7" s="206" t="s">
        <v>319</v>
      </c>
      <c r="W7" s="366"/>
      <c r="X7" s="366"/>
      <c r="Y7" s="366"/>
      <c r="Z7" s="206" t="s">
        <v>169</v>
      </c>
      <c r="AA7" s="206" t="s">
        <v>254</v>
      </c>
      <c r="AB7" s="206" t="s">
        <v>319</v>
      </c>
      <c r="AC7" s="366"/>
      <c r="AD7" s="366"/>
      <c r="AE7" s="366"/>
      <c r="AF7" s="206" t="s">
        <v>169</v>
      </c>
      <c r="AG7" s="206" t="s">
        <v>254</v>
      </c>
      <c r="AH7" s="206" t="s">
        <v>319</v>
      </c>
      <c r="AI7" s="366"/>
      <c r="AJ7" s="366"/>
      <c r="AK7" s="366"/>
      <c r="AL7" s="206" t="s">
        <v>169</v>
      </c>
      <c r="AM7" s="206" t="s">
        <v>254</v>
      </c>
      <c r="AN7" s="206" t="s">
        <v>319</v>
      </c>
      <c r="AO7" s="82"/>
      <c r="AP7" s="82"/>
    </row>
    <row r="8" spans="1:50" ht="37.5" customHeight="1">
      <c r="A8" s="144" t="s">
        <v>92</v>
      </c>
      <c r="B8" s="113">
        <f aca="true" t="shared" si="0" ref="B8:AH8">B9+B36</f>
        <v>11103.4</v>
      </c>
      <c r="C8" s="113">
        <f t="shared" si="0"/>
        <v>11958.016999999998</v>
      </c>
      <c r="D8" s="113">
        <f t="shared" si="0"/>
        <v>11776.5430531902</v>
      </c>
      <c r="E8" s="213">
        <f t="shared" si="0"/>
        <v>11460.349655882483</v>
      </c>
      <c r="F8" s="113">
        <f t="shared" si="0"/>
        <v>11464.780020817418</v>
      </c>
      <c r="G8" s="113">
        <f t="shared" si="0"/>
        <v>11905.374378961722</v>
      </c>
      <c r="H8" s="113">
        <f t="shared" si="0"/>
        <v>12264.018599614863</v>
      </c>
      <c r="I8" s="112">
        <f t="shared" si="0"/>
        <v>11104.5</v>
      </c>
      <c r="J8" s="112">
        <f t="shared" si="0"/>
        <v>12017.22</v>
      </c>
      <c r="K8" s="112">
        <f t="shared" si="0"/>
        <v>11776.5430531902</v>
      </c>
      <c r="L8" s="112">
        <f t="shared" si="0"/>
        <v>11460.349655882483</v>
      </c>
      <c r="M8" s="112">
        <f t="shared" si="0"/>
        <v>11464.780020817418</v>
      </c>
      <c r="N8" s="112">
        <f t="shared" si="0"/>
        <v>11905.374378961722</v>
      </c>
      <c r="O8" s="112">
        <f t="shared" si="0"/>
        <v>12264.018599614863</v>
      </c>
      <c r="P8" s="113">
        <f t="shared" si="0"/>
        <v>1279.977</v>
      </c>
      <c r="Q8" s="113">
        <f t="shared" si="0"/>
        <v>1017.851</v>
      </c>
      <c r="R8" s="113">
        <f t="shared" si="0"/>
        <v>930.3019419999994</v>
      </c>
      <c r="S8" s="113">
        <f t="shared" si="0"/>
        <v>489.27359679100033</v>
      </c>
      <c r="T8" s="113">
        <f t="shared" si="0"/>
        <v>490.8702355060003</v>
      </c>
      <c r="U8" s="113">
        <f t="shared" si="0"/>
        <v>404.52778116867796</v>
      </c>
      <c r="V8" s="113">
        <f t="shared" si="0"/>
        <v>471.18206236997105</v>
      </c>
      <c r="W8" s="114">
        <f t="shared" si="0"/>
        <v>4917</v>
      </c>
      <c r="X8" s="114">
        <f t="shared" si="0"/>
        <v>4856</v>
      </c>
      <c r="Y8" s="114">
        <f t="shared" si="0"/>
        <v>4803</v>
      </c>
      <c r="Z8" s="114">
        <f t="shared" si="0"/>
        <v>4795</v>
      </c>
      <c r="AA8" s="114">
        <f t="shared" si="0"/>
        <v>4817</v>
      </c>
      <c r="AB8" s="114">
        <f t="shared" si="0"/>
        <v>4830</v>
      </c>
      <c r="AC8" s="132">
        <f t="shared" si="0"/>
        <v>1719.0069999999998</v>
      </c>
      <c r="AD8" s="132">
        <f t="shared" si="0"/>
        <v>1990.854</v>
      </c>
      <c r="AE8" s="132">
        <f t="shared" si="0"/>
        <v>2009.511266</v>
      </c>
      <c r="AF8" s="132">
        <f t="shared" si="0"/>
        <v>2092.547646566</v>
      </c>
      <c r="AG8" s="132">
        <f t="shared" si="0"/>
        <v>2217.416129954602</v>
      </c>
      <c r="AH8" s="132">
        <f t="shared" si="0"/>
        <v>2338.6282996726045</v>
      </c>
      <c r="AI8" s="133">
        <f>(AC8/W8)/12*1000000</f>
        <v>29133.73669581723</v>
      </c>
      <c r="AJ8" s="133">
        <f>(AD8/X8)/12*1000000</f>
        <v>34164.84761120263</v>
      </c>
      <c r="AK8" s="133">
        <f aca="true" t="shared" si="1" ref="AK8:AN9">(AE8/Y8)/12*1000000</f>
        <v>34865.55739468388</v>
      </c>
      <c r="AL8" s="133">
        <f t="shared" si="1"/>
        <v>36366.83431640598</v>
      </c>
      <c r="AM8" s="133">
        <f t="shared" si="1"/>
        <v>38360.946127510244</v>
      </c>
      <c r="AN8" s="133">
        <f t="shared" si="1"/>
        <v>40349.00448020367</v>
      </c>
      <c r="AO8" s="82"/>
      <c r="AP8" s="82"/>
      <c r="AR8" s="81" t="s">
        <v>335</v>
      </c>
      <c r="AS8" s="81">
        <v>2013</v>
      </c>
      <c r="AT8" s="81">
        <v>2014</v>
      </c>
      <c r="AU8" s="81">
        <v>2015</v>
      </c>
      <c r="AV8" s="81">
        <v>2015</v>
      </c>
      <c r="AW8" s="81">
        <v>2016</v>
      </c>
      <c r="AX8" s="81">
        <v>2017</v>
      </c>
    </row>
    <row r="9" spans="1:50" ht="31.5" customHeight="1">
      <c r="A9" s="83" t="s">
        <v>16</v>
      </c>
      <c r="B9" s="115">
        <f aca="true" t="shared" si="2" ref="B9:AH9">B11+B16+B19+B24+B27+B31</f>
        <v>10777.6</v>
      </c>
      <c r="C9" s="118">
        <f t="shared" si="2"/>
        <v>11607.434999999998</v>
      </c>
      <c r="D9" s="115">
        <f t="shared" si="2"/>
        <v>11381.425013535</v>
      </c>
      <c r="E9" s="118">
        <f t="shared" si="2"/>
        <v>11044.076128090679</v>
      </c>
      <c r="F9" s="115">
        <f t="shared" si="2"/>
        <v>11048.506493025614</v>
      </c>
      <c r="G9" s="115">
        <f t="shared" si="2"/>
        <v>11458.264765046648</v>
      </c>
      <c r="H9" s="115">
        <f t="shared" si="2"/>
        <v>11787.174965695085</v>
      </c>
      <c r="I9" s="115">
        <f t="shared" si="2"/>
        <v>10778.7</v>
      </c>
      <c r="J9" s="115">
        <f t="shared" si="2"/>
        <v>11666.637999999999</v>
      </c>
      <c r="K9" s="115">
        <f t="shared" si="2"/>
        <v>11381.425013535</v>
      </c>
      <c r="L9" s="118">
        <f t="shared" si="2"/>
        <v>11044.076128090679</v>
      </c>
      <c r="M9" s="115">
        <f t="shared" si="2"/>
        <v>11048.506493025614</v>
      </c>
      <c r="N9" s="118">
        <f>N11+N16+N19+N24+N27+N31</f>
        <v>11458.264765046648</v>
      </c>
      <c r="O9" s="115">
        <f t="shared" si="2"/>
        <v>11787.174965695085</v>
      </c>
      <c r="P9" s="115">
        <f>P11+P16+P19+P24+P27+P31</f>
        <v>1277.563</v>
      </c>
      <c r="Q9" s="115">
        <f t="shared" si="2"/>
        <v>1017.45</v>
      </c>
      <c r="R9" s="115">
        <f t="shared" si="2"/>
        <v>929.8700649999994</v>
      </c>
      <c r="S9" s="115">
        <f t="shared" si="2"/>
        <v>488.81019277000036</v>
      </c>
      <c r="T9" s="115">
        <f t="shared" si="2"/>
        <v>490.40683148500034</v>
      </c>
      <c r="U9" s="115">
        <f t="shared" si="2"/>
        <v>404.02869503806096</v>
      </c>
      <c r="V9" s="115">
        <f t="shared" si="2"/>
        <v>470.65602558830074</v>
      </c>
      <c r="W9" s="116">
        <f t="shared" si="2"/>
        <v>4119</v>
      </c>
      <c r="X9" s="116">
        <f t="shared" si="2"/>
        <v>4029</v>
      </c>
      <c r="Y9" s="116">
        <f t="shared" si="2"/>
        <v>3976</v>
      </c>
      <c r="Z9" s="116">
        <f t="shared" si="2"/>
        <v>3968</v>
      </c>
      <c r="AA9" s="116">
        <f t="shared" si="2"/>
        <v>3990</v>
      </c>
      <c r="AB9" s="116">
        <f t="shared" si="2"/>
        <v>4003</v>
      </c>
      <c r="AC9" s="118">
        <f t="shared" si="2"/>
        <v>1420.2289999999998</v>
      </c>
      <c r="AD9" s="118">
        <f t="shared" si="2"/>
        <v>1656.232</v>
      </c>
      <c r="AE9" s="118">
        <f t="shared" si="2"/>
        <v>1657.377452</v>
      </c>
      <c r="AF9" s="118">
        <f t="shared" si="2"/>
        <v>1722.455330052</v>
      </c>
      <c r="AG9" s="118">
        <f t="shared" si="2"/>
        <v>1829.929368564444</v>
      </c>
      <c r="AH9" s="118">
        <f t="shared" si="2"/>
        <v>1934.0922847812794</v>
      </c>
      <c r="AI9" s="133">
        <f>(AC9/W9)/12*1000000</f>
        <v>28733.28882414825</v>
      </c>
      <c r="AJ9" s="133">
        <f>(AD9/X9)/12*1000000</f>
        <v>34256.4738975759</v>
      </c>
      <c r="AK9" s="133">
        <f t="shared" si="1"/>
        <v>34737.11963447351</v>
      </c>
      <c r="AL9" s="133">
        <f t="shared" si="1"/>
        <v>36173.87705922379</v>
      </c>
      <c r="AM9" s="133">
        <f t="shared" si="1"/>
        <v>38219.076202264914</v>
      </c>
      <c r="AN9" s="133">
        <f t="shared" si="1"/>
        <v>40263.39172248479</v>
      </c>
      <c r="AO9" s="82" t="s">
        <v>334</v>
      </c>
      <c r="AP9" s="82"/>
      <c r="AR9" s="201">
        <f aca="true" t="shared" si="3" ref="AR9:AX9">B9-B15-B21-B23-B33</f>
        <v>10761.100000000002</v>
      </c>
      <c r="AS9" s="201">
        <f t="shared" si="3"/>
        <v>11569.948999999999</v>
      </c>
      <c r="AT9" s="201">
        <f t="shared" si="3"/>
        <v>11340.617999999999</v>
      </c>
      <c r="AU9" s="201">
        <f t="shared" si="3"/>
        <v>10999.068344</v>
      </c>
      <c r="AV9" s="201">
        <f t="shared" si="3"/>
        <v>11003.681840000001</v>
      </c>
      <c r="AW9" s="201">
        <f t="shared" si="3"/>
        <v>11410.526793600002</v>
      </c>
      <c r="AX9" s="201">
        <f t="shared" si="3"/>
        <v>11736.746785788802</v>
      </c>
    </row>
    <row r="10" spans="1:42" ht="15.75" customHeight="1">
      <c r="A10" s="84" t="s">
        <v>17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26"/>
      <c r="Q10" s="126"/>
      <c r="R10" s="119"/>
      <c r="S10" s="119"/>
      <c r="T10" s="119"/>
      <c r="U10" s="119"/>
      <c r="V10" s="119"/>
      <c r="W10" s="85"/>
      <c r="X10" s="127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133"/>
      <c r="AJ10" s="127"/>
      <c r="AK10" s="127"/>
      <c r="AL10" s="127"/>
      <c r="AM10" s="127"/>
      <c r="AN10" s="127"/>
      <c r="AO10" s="82"/>
      <c r="AP10" s="82"/>
    </row>
    <row r="11" spans="1:42" ht="51.75" customHeight="1">
      <c r="A11" s="207" t="s">
        <v>75</v>
      </c>
      <c r="B11" s="120">
        <f aca="true" t="shared" si="4" ref="B11:V11">B13+B15</f>
        <v>8.4</v>
      </c>
      <c r="C11" s="208">
        <f t="shared" si="4"/>
        <v>10.15</v>
      </c>
      <c r="D11" s="208">
        <f t="shared" si="4"/>
        <v>12.168600535</v>
      </c>
      <c r="E11" s="208">
        <f t="shared" si="4"/>
        <v>13.730744628680625</v>
      </c>
      <c r="F11" s="208">
        <f t="shared" si="4"/>
        <v>13.717815490612185</v>
      </c>
      <c r="G11" s="208">
        <f t="shared" si="4"/>
        <v>15.192546501367351</v>
      </c>
      <c r="H11" s="208">
        <f t="shared" si="4"/>
        <v>16.61459316196974</v>
      </c>
      <c r="I11" s="120">
        <f t="shared" si="4"/>
        <v>8.4</v>
      </c>
      <c r="J11" s="208">
        <f t="shared" si="4"/>
        <v>10.15</v>
      </c>
      <c r="K11" s="208">
        <f t="shared" si="4"/>
        <v>12.168600535</v>
      </c>
      <c r="L11" s="208">
        <f t="shared" si="4"/>
        <v>13.730744628680625</v>
      </c>
      <c r="M11" s="208">
        <f t="shared" si="4"/>
        <v>13.717815490612185</v>
      </c>
      <c r="N11" s="208">
        <f t="shared" si="4"/>
        <v>15.192546501367351</v>
      </c>
      <c r="O11" s="208">
        <f t="shared" si="4"/>
        <v>16.61459316196974</v>
      </c>
      <c r="P11" s="121">
        <f t="shared" si="4"/>
        <v>0.574</v>
      </c>
      <c r="Q11" s="208">
        <f t="shared" si="4"/>
        <v>0.19</v>
      </c>
      <c r="R11" s="208">
        <f t="shared" si="4"/>
        <v>0.20501</v>
      </c>
      <c r="S11" s="208">
        <f t="shared" si="4"/>
        <v>0.21772062</v>
      </c>
      <c r="T11" s="208">
        <f t="shared" si="4"/>
        <v>0.21751561</v>
      </c>
      <c r="U11" s="208">
        <f t="shared" si="4"/>
        <v>0.22752132806</v>
      </c>
      <c r="V11" s="208">
        <f t="shared" si="4"/>
        <v>0.23571209587016</v>
      </c>
      <c r="W11" s="122">
        <f>W13+W15</f>
        <v>25</v>
      </c>
      <c r="X11" s="122">
        <f>X15</f>
        <v>32</v>
      </c>
      <c r="Y11" s="122">
        <f>Y15</f>
        <v>32</v>
      </c>
      <c r="Z11" s="122">
        <f>Z15</f>
        <v>32</v>
      </c>
      <c r="AA11" s="122">
        <f>AA15</f>
        <v>32</v>
      </c>
      <c r="AB11" s="122">
        <f>AB15</f>
        <v>32</v>
      </c>
      <c r="AC11" s="123">
        <f>AC13+AC15</f>
        <v>2.287</v>
      </c>
      <c r="AD11" s="123">
        <f>AD15</f>
        <v>1.914</v>
      </c>
      <c r="AE11" s="123">
        <f>AE15</f>
        <v>2.222154</v>
      </c>
      <c r="AF11" s="123">
        <f>AF15</f>
        <v>2.335483854</v>
      </c>
      <c r="AG11" s="123">
        <f>AG15</f>
        <v>2.445251595138</v>
      </c>
      <c r="AH11" s="123">
        <f>AH15</f>
        <v>2.5528426653240723</v>
      </c>
      <c r="AI11" s="214">
        <f aca="true" t="shared" si="5" ref="AI11:AN11">(AC11/W11)/12*1000000</f>
        <v>7623.333333333333</v>
      </c>
      <c r="AJ11" s="214">
        <f t="shared" si="5"/>
        <v>4984.375</v>
      </c>
      <c r="AK11" s="214">
        <f t="shared" si="5"/>
        <v>5786.859375000001</v>
      </c>
      <c r="AL11" s="214">
        <f t="shared" si="5"/>
        <v>6081.989203125</v>
      </c>
      <c r="AM11" s="214">
        <f t="shared" si="5"/>
        <v>6367.842695671876</v>
      </c>
      <c r="AN11" s="214">
        <f t="shared" si="5"/>
        <v>6648.027774281439</v>
      </c>
      <c r="AO11" s="82"/>
      <c r="AP11" s="82"/>
    </row>
    <row r="12" spans="1:42" ht="15.75" customHeight="1">
      <c r="A12" s="84" t="s">
        <v>85</v>
      </c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26"/>
      <c r="Q12" s="126"/>
      <c r="R12" s="119"/>
      <c r="S12" s="119"/>
      <c r="T12" s="119"/>
      <c r="U12" s="119"/>
      <c r="V12" s="119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133"/>
      <c r="AJ12" s="127"/>
      <c r="AK12" s="127"/>
      <c r="AL12" s="127"/>
      <c r="AM12" s="127"/>
      <c r="AN12" s="127"/>
      <c r="AO12" s="82"/>
      <c r="AP12" s="82"/>
    </row>
    <row r="13" spans="1:42" ht="82.5">
      <c r="A13" s="86" t="s">
        <v>243</v>
      </c>
      <c r="B13" s="85">
        <v>0</v>
      </c>
      <c r="C13" s="85">
        <v>0</v>
      </c>
      <c r="D13" s="85">
        <v>0</v>
      </c>
      <c r="E13" s="85">
        <v>0</v>
      </c>
      <c r="F13" s="85"/>
      <c r="G13" s="85">
        <v>0</v>
      </c>
      <c r="H13" s="85">
        <v>0</v>
      </c>
      <c r="I13" s="85">
        <v>0</v>
      </c>
      <c r="J13" s="85">
        <v>0</v>
      </c>
      <c r="K13" s="85">
        <v>0</v>
      </c>
      <c r="L13" s="85">
        <v>0</v>
      </c>
      <c r="M13" s="85"/>
      <c r="N13" s="85">
        <v>0</v>
      </c>
      <c r="O13" s="85">
        <v>0</v>
      </c>
      <c r="P13" s="95">
        <v>0</v>
      </c>
      <c r="Q13" s="95">
        <v>0</v>
      </c>
      <c r="R13" s="95">
        <v>0</v>
      </c>
      <c r="S13" s="95">
        <v>0</v>
      </c>
      <c r="T13" s="95"/>
      <c r="U13" s="95">
        <v>0</v>
      </c>
      <c r="V13" s="95">
        <v>0</v>
      </c>
      <c r="W13" s="85">
        <v>0</v>
      </c>
      <c r="X13" s="85">
        <v>0</v>
      </c>
      <c r="Y13" s="85"/>
      <c r="Z13" s="85"/>
      <c r="AA13" s="85"/>
      <c r="AB13" s="85"/>
      <c r="AC13" s="85">
        <v>0</v>
      </c>
      <c r="AD13" s="85"/>
      <c r="AE13" s="85"/>
      <c r="AF13" s="89"/>
      <c r="AG13" s="89"/>
      <c r="AH13" s="89"/>
      <c r="AI13" s="133"/>
      <c r="AJ13" s="127"/>
      <c r="AK13" s="127"/>
      <c r="AL13" s="127"/>
      <c r="AM13" s="127"/>
      <c r="AN13" s="127"/>
      <c r="AO13" s="82"/>
      <c r="AP13" s="82"/>
    </row>
    <row r="14" spans="1:42" ht="66" customHeight="1" hidden="1">
      <c r="A14" s="86" t="s">
        <v>132</v>
      </c>
      <c r="B14" s="85">
        <v>0</v>
      </c>
      <c r="C14" s="85"/>
      <c r="D14" s="85"/>
      <c r="E14" s="85"/>
      <c r="F14" s="85"/>
      <c r="G14" s="85"/>
      <c r="H14" s="85"/>
      <c r="I14" s="85">
        <v>0</v>
      </c>
      <c r="J14" s="85"/>
      <c r="K14" s="85"/>
      <c r="L14" s="85"/>
      <c r="M14" s="85"/>
      <c r="N14" s="85"/>
      <c r="O14" s="85"/>
      <c r="P14" s="126"/>
      <c r="Q14" s="126"/>
      <c r="R14" s="119"/>
      <c r="S14" s="119"/>
      <c r="T14" s="119"/>
      <c r="U14" s="119"/>
      <c r="V14" s="119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133" t="e">
        <f>(AC14/W14)/12*1000000</f>
        <v>#DIV/0!</v>
      </c>
      <c r="AJ14" s="127"/>
      <c r="AK14" s="127"/>
      <c r="AL14" s="127"/>
      <c r="AM14" s="127"/>
      <c r="AN14" s="127"/>
      <c r="AO14" s="82"/>
      <c r="AP14" s="82"/>
    </row>
    <row r="15" spans="1:42" ht="16.5">
      <c r="A15" s="86" t="s">
        <v>244</v>
      </c>
      <c r="B15" s="110">
        <v>8.4</v>
      </c>
      <c r="C15" s="110">
        <v>10.15</v>
      </c>
      <c r="D15" s="195">
        <f>C15*111.11%*107.9%</f>
        <v>12.168600535</v>
      </c>
      <c r="E15" s="195">
        <f>D15*106.25%*106.2%</f>
        <v>13.730744628680625</v>
      </c>
      <c r="F15" s="195">
        <f>D15*106.25%*106.1%</f>
        <v>13.717815490612185</v>
      </c>
      <c r="G15" s="195">
        <f>F15*105.88%*104.6%</f>
        <v>15.192546501367351</v>
      </c>
      <c r="H15" s="195">
        <f>G15*105.56%*103.6%</f>
        <v>16.61459316196974</v>
      </c>
      <c r="I15" s="110">
        <v>8.4</v>
      </c>
      <c r="J15" s="110">
        <v>10.15</v>
      </c>
      <c r="K15" s="195">
        <f>J15*111.11%*107.9%</f>
        <v>12.168600535</v>
      </c>
      <c r="L15" s="195">
        <f>K15*106.25%*106.2%</f>
        <v>13.730744628680625</v>
      </c>
      <c r="M15" s="195">
        <f>K15*106.25%*106.1%</f>
        <v>13.717815490612185</v>
      </c>
      <c r="N15" s="195">
        <f>M15*105.88%*104.6%</f>
        <v>15.192546501367351</v>
      </c>
      <c r="O15" s="195">
        <f>N15*105.56%*103.6%</f>
        <v>16.61459316196974</v>
      </c>
      <c r="P15" s="124">
        <v>0.574</v>
      </c>
      <c r="Q15" s="195">
        <v>0.19</v>
      </c>
      <c r="R15" s="195">
        <f>Q15*107.9%</f>
        <v>0.20501</v>
      </c>
      <c r="S15" s="195">
        <f>R15*106.2%</f>
        <v>0.21772062</v>
      </c>
      <c r="T15" s="195">
        <f>R15*106.1%</f>
        <v>0.21751561</v>
      </c>
      <c r="U15" s="195">
        <f>T15*104.6%</f>
        <v>0.22752132806</v>
      </c>
      <c r="V15" s="195">
        <f>U15*103.6%</f>
        <v>0.23571209587016</v>
      </c>
      <c r="W15" s="85">
        <v>25</v>
      </c>
      <c r="X15" s="85">
        <v>32</v>
      </c>
      <c r="Y15" s="85">
        <v>32</v>
      </c>
      <c r="Z15" s="85">
        <v>32</v>
      </c>
      <c r="AA15" s="85">
        <v>32</v>
      </c>
      <c r="AB15" s="85">
        <v>32</v>
      </c>
      <c r="AC15" s="85">
        <v>2.287</v>
      </c>
      <c r="AD15" s="85">
        <v>1.914</v>
      </c>
      <c r="AE15" s="89">
        <f>AD15*1.161</f>
        <v>2.222154</v>
      </c>
      <c r="AF15" s="136">
        <f>AE15*1.051</f>
        <v>2.335483854</v>
      </c>
      <c r="AG15" s="136">
        <f>AF15*1.047</f>
        <v>2.445251595138</v>
      </c>
      <c r="AH15" s="136">
        <f>AG15*1.044</f>
        <v>2.5528426653240723</v>
      </c>
      <c r="AI15" s="215">
        <f>(AC15/W15)/12*1000000</f>
        <v>7623.333333333333</v>
      </c>
      <c r="AJ15" s="215">
        <f>(AD15/X15)/12*1000000</f>
        <v>4984.375</v>
      </c>
      <c r="AK15" s="215">
        <f aca="true" t="shared" si="6" ref="AK15:AN16">(AE15/Y15)/12*1000000</f>
        <v>5786.859375000001</v>
      </c>
      <c r="AL15" s="215">
        <f t="shared" si="6"/>
        <v>6081.989203125</v>
      </c>
      <c r="AM15" s="215">
        <f t="shared" si="6"/>
        <v>6367.842695671876</v>
      </c>
      <c r="AN15" s="215">
        <f t="shared" si="6"/>
        <v>6648.027774281439</v>
      </c>
      <c r="AO15" s="82"/>
      <c r="AP15" s="82"/>
    </row>
    <row r="16" spans="1:42" ht="33.75" customHeight="1">
      <c r="A16" s="142" t="s">
        <v>76</v>
      </c>
      <c r="B16" s="120">
        <f aca="true" t="shared" si="7" ref="B16:AH16">B18</f>
        <v>74</v>
      </c>
      <c r="C16" s="120">
        <f t="shared" si="7"/>
        <v>94.044</v>
      </c>
      <c r="D16" s="121">
        <f t="shared" si="7"/>
        <v>95.153</v>
      </c>
      <c r="E16" s="121">
        <f t="shared" si="7"/>
        <v>104.356</v>
      </c>
      <c r="F16" s="121">
        <f t="shared" si="7"/>
        <v>109.082</v>
      </c>
      <c r="G16" s="121">
        <f t="shared" si="7"/>
        <v>114.021</v>
      </c>
      <c r="H16" s="121">
        <f t="shared" si="7"/>
        <v>117.442</v>
      </c>
      <c r="I16" s="120">
        <f t="shared" si="7"/>
        <v>74</v>
      </c>
      <c r="J16" s="121">
        <f t="shared" si="7"/>
        <v>94.044</v>
      </c>
      <c r="K16" s="121">
        <f t="shared" si="7"/>
        <v>95.153</v>
      </c>
      <c r="L16" s="121">
        <f t="shared" si="7"/>
        <v>104.356</v>
      </c>
      <c r="M16" s="121">
        <f t="shared" si="7"/>
        <v>109.082</v>
      </c>
      <c r="N16" s="121">
        <f t="shared" si="7"/>
        <v>114.021</v>
      </c>
      <c r="O16" s="121">
        <f t="shared" si="7"/>
        <v>117.442</v>
      </c>
      <c r="P16" s="121">
        <f t="shared" si="7"/>
        <v>0.967</v>
      </c>
      <c r="Q16" s="208">
        <f t="shared" si="7"/>
        <v>0.713</v>
      </c>
      <c r="R16" s="208">
        <f t="shared" si="7"/>
        <v>1.437</v>
      </c>
      <c r="S16" s="208">
        <f t="shared" si="7"/>
        <v>5.971</v>
      </c>
      <c r="T16" s="208">
        <f t="shared" si="7"/>
        <v>7.582</v>
      </c>
      <c r="U16" s="208">
        <f t="shared" si="7"/>
        <v>7.621</v>
      </c>
      <c r="V16" s="208">
        <f t="shared" si="7"/>
        <v>6.442</v>
      </c>
      <c r="W16" s="122">
        <f t="shared" si="7"/>
        <v>272</v>
      </c>
      <c r="X16" s="122">
        <f t="shared" si="7"/>
        <v>253</v>
      </c>
      <c r="Y16" s="122">
        <f t="shared" si="7"/>
        <v>225</v>
      </c>
      <c r="Z16" s="122">
        <f t="shared" si="7"/>
        <v>225</v>
      </c>
      <c r="AA16" s="122">
        <f t="shared" si="7"/>
        <v>225</v>
      </c>
      <c r="AB16" s="122">
        <f t="shared" si="7"/>
        <v>225</v>
      </c>
      <c r="AC16" s="123">
        <f t="shared" si="7"/>
        <v>95.703</v>
      </c>
      <c r="AD16" s="123">
        <f t="shared" si="7"/>
        <v>144.547</v>
      </c>
      <c r="AE16" s="123">
        <f t="shared" si="7"/>
        <v>129.836</v>
      </c>
      <c r="AF16" s="123">
        <f t="shared" si="7"/>
        <v>132.434</v>
      </c>
      <c r="AG16" s="123">
        <f t="shared" si="7"/>
        <v>135.08</v>
      </c>
      <c r="AH16" s="123">
        <f t="shared" si="7"/>
        <v>137.78</v>
      </c>
      <c r="AI16" s="214">
        <f>(AC16/W16)/12*1000000</f>
        <v>29320.772058823528</v>
      </c>
      <c r="AJ16" s="214">
        <f>(AD16/X16)/12*1000000</f>
        <v>47611.001317523056</v>
      </c>
      <c r="AK16" s="214">
        <f t="shared" si="6"/>
        <v>48087.40740740741</v>
      </c>
      <c r="AL16" s="214">
        <f t="shared" si="6"/>
        <v>49049.62962962963</v>
      </c>
      <c r="AM16" s="214">
        <f t="shared" si="6"/>
        <v>50029.62962962964</v>
      </c>
      <c r="AN16" s="214">
        <f t="shared" si="6"/>
        <v>51029.62962962963</v>
      </c>
      <c r="AO16" s="82"/>
      <c r="AP16" s="82"/>
    </row>
    <row r="17" spans="1:42" ht="15.75" customHeight="1">
      <c r="A17" s="87" t="s">
        <v>85</v>
      </c>
      <c r="B17" s="119"/>
      <c r="C17" s="119"/>
      <c r="D17" s="119"/>
      <c r="E17" s="119"/>
      <c r="F17" s="119"/>
      <c r="G17" s="119"/>
      <c r="H17" s="119"/>
      <c r="I17" s="119"/>
      <c r="J17" s="126"/>
      <c r="K17" s="119"/>
      <c r="L17" s="119"/>
      <c r="M17" s="119"/>
      <c r="N17" s="119"/>
      <c r="O17" s="119"/>
      <c r="P17" s="126"/>
      <c r="Q17" s="199"/>
      <c r="R17" s="119"/>
      <c r="S17" s="119"/>
      <c r="T17" s="119"/>
      <c r="U17" s="119"/>
      <c r="V17" s="119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133"/>
      <c r="AJ17" s="127"/>
      <c r="AK17" s="127"/>
      <c r="AL17" s="127"/>
      <c r="AM17" s="127"/>
      <c r="AN17" s="127"/>
      <c r="AO17" s="82"/>
      <c r="AP17" s="82"/>
    </row>
    <row r="18" spans="1:42" ht="16.5">
      <c r="A18" s="86" t="s">
        <v>245</v>
      </c>
      <c r="B18" s="85">
        <v>74</v>
      </c>
      <c r="C18" s="85">
        <v>94.044</v>
      </c>
      <c r="D18" s="136">
        <v>95.153</v>
      </c>
      <c r="E18" s="136">
        <v>104.356</v>
      </c>
      <c r="F18" s="136">
        <v>109.082</v>
      </c>
      <c r="G18" s="136">
        <v>114.021</v>
      </c>
      <c r="H18" s="136">
        <v>117.442</v>
      </c>
      <c r="I18" s="85">
        <v>74</v>
      </c>
      <c r="J18" s="95">
        <v>94.044</v>
      </c>
      <c r="K18" s="136">
        <v>95.153</v>
      </c>
      <c r="L18" s="136">
        <v>104.356</v>
      </c>
      <c r="M18" s="136">
        <v>109.082</v>
      </c>
      <c r="N18" s="136">
        <v>114.021</v>
      </c>
      <c r="O18" s="136">
        <v>117.442</v>
      </c>
      <c r="P18" s="95">
        <v>0.967</v>
      </c>
      <c r="Q18" s="89">
        <v>0.713</v>
      </c>
      <c r="R18" s="136">
        <v>1.437</v>
      </c>
      <c r="S18" s="136">
        <v>5.971</v>
      </c>
      <c r="T18" s="136">
        <v>7.582</v>
      </c>
      <c r="U18" s="136">
        <v>7.621</v>
      </c>
      <c r="V18" s="136">
        <v>6.442</v>
      </c>
      <c r="W18" s="85">
        <v>272</v>
      </c>
      <c r="X18" s="85">
        <v>253</v>
      </c>
      <c r="Y18" s="85">
        <v>225</v>
      </c>
      <c r="Z18" s="85">
        <v>225</v>
      </c>
      <c r="AA18" s="85">
        <v>225</v>
      </c>
      <c r="AB18" s="85">
        <v>225</v>
      </c>
      <c r="AC18" s="85">
        <v>95.703</v>
      </c>
      <c r="AD18" s="85">
        <v>144.547</v>
      </c>
      <c r="AE18" s="85">
        <v>129.836</v>
      </c>
      <c r="AF18" s="85">
        <v>132.434</v>
      </c>
      <c r="AG18" s="85">
        <v>135.08</v>
      </c>
      <c r="AH18" s="85">
        <v>137.78</v>
      </c>
      <c r="AI18" s="215">
        <f aca="true" t="shared" si="8" ref="AI18:AN24">(AC18/W18)/12*1000000</f>
        <v>29320.772058823528</v>
      </c>
      <c r="AJ18" s="215">
        <f t="shared" si="8"/>
        <v>47611.001317523056</v>
      </c>
      <c r="AK18" s="215">
        <f t="shared" si="8"/>
        <v>48087.40740740741</v>
      </c>
      <c r="AL18" s="215">
        <f t="shared" si="8"/>
        <v>49049.62962962963</v>
      </c>
      <c r="AM18" s="215">
        <f t="shared" si="8"/>
        <v>50029.62962962964</v>
      </c>
      <c r="AN18" s="215">
        <f t="shared" si="8"/>
        <v>51029.62962962963</v>
      </c>
      <c r="AO18" s="82"/>
      <c r="AP18" s="82"/>
    </row>
    <row r="19" spans="1:42" ht="67.5" customHeight="1">
      <c r="A19" s="141" t="s">
        <v>77</v>
      </c>
      <c r="B19" s="120">
        <f aca="true" t="shared" si="9" ref="B19:AH19">B21+B22+B23</f>
        <v>18.3</v>
      </c>
      <c r="C19" s="121">
        <f t="shared" si="9"/>
        <v>33.777</v>
      </c>
      <c r="D19" s="121">
        <f t="shared" si="9"/>
        <v>34.621424999999995</v>
      </c>
      <c r="E19" s="121">
        <f t="shared" si="9"/>
        <v>38.152810349999996</v>
      </c>
      <c r="F19" s="121">
        <f t="shared" si="9"/>
        <v>37.910460375</v>
      </c>
      <c r="G19" s="121">
        <f t="shared" si="9"/>
        <v>39.42687879</v>
      </c>
      <c r="H19" s="121">
        <f t="shared" si="9"/>
        <v>40.72796579007</v>
      </c>
      <c r="I19" s="120">
        <f t="shared" si="9"/>
        <v>18.3</v>
      </c>
      <c r="J19" s="121">
        <f t="shared" si="9"/>
        <v>33.777</v>
      </c>
      <c r="K19" s="121">
        <f t="shared" si="9"/>
        <v>34.621424999999995</v>
      </c>
      <c r="L19" s="121">
        <f t="shared" si="9"/>
        <v>38.152810349999996</v>
      </c>
      <c r="M19" s="121">
        <f t="shared" si="9"/>
        <v>37.910460375</v>
      </c>
      <c r="N19" s="121">
        <f t="shared" si="9"/>
        <v>39.42687879</v>
      </c>
      <c r="O19" s="121">
        <f t="shared" si="9"/>
        <v>40.72796579007</v>
      </c>
      <c r="P19" s="121">
        <f t="shared" si="9"/>
        <v>0.936</v>
      </c>
      <c r="Q19" s="208">
        <f t="shared" si="9"/>
        <v>1.973</v>
      </c>
      <c r="R19" s="208">
        <f t="shared" si="9"/>
        <v>2.022325</v>
      </c>
      <c r="S19" s="208">
        <f t="shared" si="9"/>
        <v>2.22860215</v>
      </c>
      <c r="T19" s="208">
        <f t="shared" si="9"/>
        <v>2.214445875</v>
      </c>
      <c r="U19" s="208">
        <f t="shared" si="9"/>
        <v>2.30302371</v>
      </c>
      <c r="V19" s="121">
        <f t="shared" si="9"/>
        <v>2.37902349243</v>
      </c>
      <c r="W19" s="122">
        <f t="shared" si="9"/>
        <v>66</v>
      </c>
      <c r="X19" s="122">
        <f t="shared" si="9"/>
        <v>67</v>
      </c>
      <c r="Y19" s="122">
        <f t="shared" si="9"/>
        <v>67</v>
      </c>
      <c r="Z19" s="122">
        <f t="shared" si="9"/>
        <v>67</v>
      </c>
      <c r="AA19" s="122">
        <f t="shared" si="9"/>
        <v>67</v>
      </c>
      <c r="AB19" s="122">
        <f t="shared" si="9"/>
        <v>67</v>
      </c>
      <c r="AC19" s="125">
        <f t="shared" si="9"/>
        <v>13.291</v>
      </c>
      <c r="AD19" s="125">
        <f t="shared" si="9"/>
        <v>15.028</v>
      </c>
      <c r="AE19" s="125">
        <f t="shared" si="9"/>
        <v>17.447508</v>
      </c>
      <c r="AF19" s="125">
        <f t="shared" si="9"/>
        <v>18.337330908</v>
      </c>
      <c r="AG19" s="125">
        <f t="shared" si="9"/>
        <v>19.199185460676</v>
      </c>
      <c r="AH19" s="125">
        <f t="shared" si="9"/>
        <v>20.04394962094574</v>
      </c>
      <c r="AI19" s="214">
        <f t="shared" si="8"/>
        <v>16781.565656565657</v>
      </c>
      <c r="AJ19" s="214">
        <f t="shared" si="8"/>
        <v>18691.542288557215</v>
      </c>
      <c r="AK19" s="214">
        <f t="shared" si="8"/>
        <v>21700.880597014926</v>
      </c>
      <c r="AL19" s="214">
        <f t="shared" si="8"/>
        <v>22807.625507462686</v>
      </c>
      <c r="AM19" s="214">
        <f t="shared" si="8"/>
        <v>23879.583906313434</v>
      </c>
      <c r="AN19" s="214">
        <f t="shared" si="8"/>
        <v>24930.285598191214</v>
      </c>
      <c r="AO19" s="82"/>
      <c r="AP19" s="82"/>
    </row>
    <row r="20" spans="1:42" ht="15.75" customHeight="1">
      <c r="A20" s="87" t="s">
        <v>85</v>
      </c>
      <c r="B20" s="119"/>
      <c r="C20" s="119"/>
      <c r="D20" s="121"/>
      <c r="E20" s="121"/>
      <c r="F20" s="121"/>
      <c r="G20" s="121"/>
      <c r="H20" s="121"/>
      <c r="I20" s="119"/>
      <c r="J20" s="119"/>
      <c r="K20" s="121"/>
      <c r="L20" s="121"/>
      <c r="M20" s="121"/>
      <c r="N20" s="121"/>
      <c r="O20" s="121"/>
      <c r="P20" s="126"/>
      <c r="Q20" s="199"/>
      <c r="R20" s="199"/>
      <c r="S20" s="199"/>
      <c r="T20" s="199"/>
      <c r="U20" s="199"/>
      <c r="V20" s="119"/>
      <c r="W20" s="85"/>
      <c r="X20" s="85"/>
      <c r="Y20" s="85"/>
      <c r="Z20" s="85"/>
      <c r="AA20" s="85"/>
      <c r="AB20" s="85"/>
      <c r="AC20" s="89"/>
      <c r="AD20" s="89"/>
      <c r="AE20" s="89"/>
      <c r="AF20" s="89"/>
      <c r="AG20" s="89"/>
      <c r="AH20" s="89"/>
      <c r="AI20" s="133"/>
      <c r="AJ20" s="127"/>
      <c r="AK20" s="127"/>
      <c r="AL20" s="127"/>
      <c r="AM20" s="127"/>
      <c r="AN20" s="127"/>
      <c r="AO20" s="82"/>
      <c r="AP20" s="82"/>
    </row>
    <row r="21" spans="1:42" ht="16.5">
      <c r="A21" s="86" t="s">
        <v>134</v>
      </c>
      <c r="B21" s="85">
        <v>2.8</v>
      </c>
      <c r="C21" s="85">
        <v>2.61</v>
      </c>
      <c r="D21" s="124">
        <f>C21*100%*102.5%</f>
        <v>2.6752499999999997</v>
      </c>
      <c r="E21" s="124">
        <f>D21*100%*110.2%</f>
        <v>2.9481254999999997</v>
      </c>
      <c r="F21" s="124">
        <f>D21*100%*109.5%</f>
        <v>2.9293987499999994</v>
      </c>
      <c r="G21" s="124">
        <f>F21*100%*104%</f>
        <v>3.0465746999999994</v>
      </c>
      <c r="H21" s="124">
        <f>G21*100%*103.3%</f>
        <v>3.1471116650999993</v>
      </c>
      <c r="I21" s="85">
        <v>2.8</v>
      </c>
      <c r="J21" s="85">
        <v>2.61</v>
      </c>
      <c r="K21" s="124">
        <f>J21*100%*102.5%</f>
        <v>2.6752499999999997</v>
      </c>
      <c r="L21" s="124">
        <f>K21*100%*110.2%</f>
        <v>2.9481254999999997</v>
      </c>
      <c r="M21" s="124">
        <f>K21*100%*109.5%</f>
        <v>2.9293987499999994</v>
      </c>
      <c r="N21" s="124">
        <f>M21*100%*104%</f>
        <v>3.0465746999999994</v>
      </c>
      <c r="O21" s="124">
        <f>N21*100%*103.3%</f>
        <v>3.1471116650999993</v>
      </c>
      <c r="P21" s="95">
        <v>0</v>
      </c>
      <c r="Q21" s="89">
        <v>0</v>
      </c>
      <c r="R21" s="89">
        <v>0</v>
      </c>
      <c r="S21" s="89">
        <v>0</v>
      </c>
      <c r="T21" s="89">
        <v>0</v>
      </c>
      <c r="U21" s="89">
        <v>0</v>
      </c>
      <c r="V21" s="95">
        <v>0</v>
      </c>
      <c r="W21" s="85">
        <v>20</v>
      </c>
      <c r="X21" s="85">
        <v>22</v>
      </c>
      <c r="Y21" s="85">
        <v>22</v>
      </c>
      <c r="Z21" s="85">
        <v>22</v>
      </c>
      <c r="AA21" s="85">
        <v>22</v>
      </c>
      <c r="AB21" s="85">
        <v>22</v>
      </c>
      <c r="AC21" s="89">
        <v>3.067</v>
      </c>
      <c r="AD21" s="89">
        <v>3.638</v>
      </c>
      <c r="AE21" s="89">
        <f>AD21*1.161</f>
        <v>4.223718</v>
      </c>
      <c r="AF21" s="89">
        <f>AE21*1.051</f>
        <v>4.439127618</v>
      </c>
      <c r="AG21" s="89">
        <f>AF21*1.047</f>
        <v>4.647766616045999</v>
      </c>
      <c r="AH21" s="89">
        <f>AG21*1.044</f>
        <v>4.852268347152023</v>
      </c>
      <c r="AI21" s="215">
        <f t="shared" si="8"/>
        <v>12779.166666666668</v>
      </c>
      <c r="AJ21" s="215">
        <f t="shared" si="8"/>
        <v>13780.30303030303</v>
      </c>
      <c r="AK21" s="215">
        <f t="shared" si="8"/>
        <v>15998.931818181818</v>
      </c>
      <c r="AL21" s="215">
        <f t="shared" si="8"/>
        <v>16814.877340909086</v>
      </c>
      <c r="AM21" s="215">
        <f t="shared" si="8"/>
        <v>17605.17657593181</v>
      </c>
      <c r="AN21" s="215">
        <f t="shared" si="8"/>
        <v>18379.804345272812</v>
      </c>
      <c r="AO21" s="82"/>
      <c r="AP21" s="82"/>
    </row>
    <row r="22" spans="1:42" ht="16.5">
      <c r="A22" s="88" t="s">
        <v>135</v>
      </c>
      <c r="B22" s="85">
        <v>14.2</v>
      </c>
      <c r="C22" s="85">
        <v>15.68</v>
      </c>
      <c r="D22" s="124">
        <f>C22*100%*102.5%</f>
        <v>16.072</v>
      </c>
      <c r="E22" s="124">
        <f>D22*100%*110.2%</f>
        <v>17.711344</v>
      </c>
      <c r="F22" s="124">
        <f>D22*100%*109.5%</f>
        <v>17.59884</v>
      </c>
      <c r="G22" s="124">
        <f>F22*100%*104%</f>
        <v>18.3027936</v>
      </c>
      <c r="H22" s="124">
        <f>G22*100%*103.3%</f>
        <v>18.9067857888</v>
      </c>
      <c r="I22" s="85">
        <v>14.2</v>
      </c>
      <c r="J22" s="85">
        <v>15.68</v>
      </c>
      <c r="K22" s="124">
        <f>J22*100%*102.5%</f>
        <v>16.072</v>
      </c>
      <c r="L22" s="124">
        <f>K22*100%*110.2%</f>
        <v>17.711344</v>
      </c>
      <c r="M22" s="124">
        <f>K22*100%*109.5%</f>
        <v>17.59884</v>
      </c>
      <c r="N22" s="124">
        <f>M22*100%*104%</f>
        <v>18.3027936</v>
      </c>
      <c r="O22" s="124">
        <f>N22*100%*103.3%</f>
        <v>18.9067857888</v>
      </c>
      <c r="P22" s="95">
        <v>0.936</v>
      </c>
      <c r="Q22" s="89">
        <v>1.614</v>
      </c>
      <c r="R22" s="195">
        <f>Q22*102.5%</f>
        <v>1.65435</v>
      </c>
      <c r="S22" s="195">
        <f>R22*110.2%</f>
        <v>1.8230937</v>
      </c>
      <c r="T22" s="195">
        <f>R22*109.5%</f>
        <v>1.81151325</v>
      </c>
      <c r="U22" s="195">
        <f>T22*104%</f>
        <v>1.88397378</v>
      </c>
      <c r="V22" s="124">
        <f>U22*103.3%</f>
        <v>1.9461449147399998</v>
      </c>
      <c r="W22" s="85">
        <v>34</v>
      </c>
      <c r="X22" s="85">
        <v>33</v>
      </c>
      <c r="Y22" s="85">
        <v>33</v>
      </c>
      <c r="Z22" s="85">
        <v>33</v>
      </c>
      <c r="AA22" s="85">
        <v>33</v>
      </c>
      <c r="AB22" s="85">
        <v>33</v>
      </c>
      <c r="AC22" s="89">
        <v>7.618</v>
      </c>
      <c r="AD22" s="89">
        <v>8.65</v>
      </c>
      <c r="AE22" s="89">
        <f>AD22*1.161</f>
        <v>10.04265</v>
      </c>
      <c r="AF22" s="89">
        <f>AE22*1.051</f>
        <v>10.55482515</v>
      </c>
      <c r="AG22" s="89">
        <f>AF22*1.047</f>
        <v>11.050901932049998</v>
      </c>
      <c r="AH22" s="89">
        <f>AG22*1.044</f>
        <v>11.537141617060199</v>
      </c>
      <c r="AI22" s="215">
        <f t="shared" si="8"/>
        <v>18671.568627450983</v>
      </c>
      <c r="AJ22" s="215">
        <f t="shared" si="8"/>
        <v>21843.434343434346</v>
      </c>
      <c r="AK22" s="215">
        <f t="shared" si="8"/>
        <v>25360.227272727272</v>
      </c>
      <c r="AL22" s="215">
        <f t="shared" si="8"/>
        <v>26653.59886363636</v>
      </c>
      <c r="AM22" s="215">
        <f t="shared" si="8"/>
        <v>27906.318010227267</v>
      </c>
      <c r="AN22" s="215">
        <f t="shared" si="8"/>
        <v>29134.196002677265</v>
      </c>
      <c r="AO22" s="82"/>
      <c r="AP22" s="82"/>
    </row>
    <row r="23" spans="1:42" ht="16.5">
      <c r="A23" s="86" t="s">
        <v>136</v>
      </c>
      <c r="B23" s="85">
        <v>1.3</v>
      </c>
      <c r="C23" s="95">
        <v>15.487</v>
      </c>
      <c r="D23" s="124">
        <f>C23*100%*102.5%</f>
        <v>15.874175</v>
      </c>
      <c r="E23" s="124">
        <f>D23*100%*110.2%</f>
        <v>17.49334085</v>
      </c>
      <c r="F23" s="124">
        <f>D23*100%*109.5%</f>
        <v>17.382221625</v>
      </c>
      <c r="G23" s="124">
        <f>F23*100%*104%</f>
        <v>18.07751049</v>
      </c>
      <c r="H23" s="124">
        <f>G23*100%*103.3%</f>
        <v>18.67406833617</v>
      </c>
      <c r="I23" s="85">
        <v>1.3</v>
      </c>
      <c r="J23" s="95">
        <v>15.487</v>
      </c>
      <c r="K23" s="124">
        <f>J23*100%*102.5%</f>
        <v>15.874175</v>
      </c>
      <c r="L23" s="124">
        <f>K23*100%*110.2%</f>
        <v>17.49334085</v>
      </c>
      <c r="M23" s="124">
        <f>K23*100%*109.5%</f>
        <v>17.382221625</v>
      </c>
      <c r="N23" s="124">
        <f>M23*100%*104%</f>
        <v>18.07751049</v>
      </c>
      <c r="O23" s="124">
        <f>N23*100%*103.3%</f>
        <v>18.67406833617</v>
      </c>
      <c r="P23" s="95">
        <v>0</v>
      </c>
      <c r="Q23" s="89">
        <v>0.359</v>
      </c>
      <c r="R23" s="89">
        <f>Q23*102.5%</f>
        <v>0.36797499999999994</v>
      </c>
      <c r="S23" s="89">
        <f>R23*110.2%</f>
        <v>0.40550844999999996</v>
      </c>
      <c r="T23" s="89">
        <f>R23*109.5%</f>
        <v>0.40293262499999993</v>
      </c>
      <c r="U23" s="89">
        <f>T23*104%</f>
        <v>0.41904992999999996</v>
      </c>
      <c r="V23" s="95">
        <f>U23*103.3%</f>
        <v>0.43287857768999993</v>
      </c>
      <c r="W23" s="85">
        <v>12</v>
      </c>
      <c r="X23" s="85">
        <v>12</v>
      </c>
      <c r="Y23" s="85">
        <v>12</v>
      </c>
      <c r="Z23" s="85">
        <v>12</v>
      </c>
      <c r="AA23" s="85">
        <v>12</v>
      </c>
      <c r="AB23" s="85">
        <v>12</v>
      </c>
      <c r="AC23" s="89">
        <v>2.606</v>
      </c>
      <c r="AD23" s="89">
        <v>2.74</v>
      </c>
      <c r="AE23" s="89">
        <f>AD23*1.161</f>
        <v>3.1811400000000005</v>
      </c>
      <c r="AF23" s="89">
        <f>AE23*1.051</f>
        <v>3.3433781400000004</v>
      </c>
      <c r="AG23" s="89">
        <f>AF23*1.047</f>
        <v>3.50051691258</v>
      </c>
      <c r="AH23" s="89">
        <f>AG23*1.044</f>
        <v>3.65453965673352</v>
      </c>
      <c r="AI23" s="215">
        <f t="shared" si="8"/>
        <v>18097.22222222222</v>
      </c>
      <c r="AJ23" s="215">
        <f t="shared" si="8"/>
        <v>19027.777777777777</v>
      </c>
      <c r="AK23" s="215">
        <f t="shared" si="8"/>
        <v>22091.250000000004</v>
      </c>
      <c r="AL23" s="215">
        <f t="shared" si="8"/>
        <v>23217.903750000005</v>
      </c>
      <c r="AM23" s="215">
        <f t="shared" si="8"/>
        <v>24309.14522625</v>
      </c>
      <c r="AN23" s="215">
        <f t="shared" si="8"/>
        <v>25378.747616205</v>
      </c>
      <c r="AO23" s="82"/>
      <c r="AP23" s="82"/>
    </row>
    <row r="24" spans="1:42" ht="16.5" customHeight="1">
      <c r="A24" s="142" t="s">
        <v>78</v>
      </c>
      <c r="B24" s="121">
        <f aca="true" t="shared" si="10" ref="B24:AH24">B26</f>
        <v>10322.6</v>
      </c>
      <c r="C24" s="121">
        <f t="shared" si="10"/>
        <v>11071.506</v>
      </c>
      <c r="D24" s="121">
        <f t="shared" si="10"/>
        <v>10669.546</v>
      </c>
      <c r="E24" s="121">
        <f t="shared" si="10"/>
        <v>10252.914</v>
      </c>
      <c r="F24" s="121">
        <f t="shared" si="10"/>
        <v>10252.914</v>
      </c>
      <c r="G24" s="121">
        <f t="shared" si="10"/>
        <v>10523.369</v>
      </c>
      <c r="H24" s="121">
        <f t="shared" si="10"/>
        <v>10714.429</v>
      </c>
      <c r="I24" s="121">
        <f t="shared" si="10"/>
        <v>10322.6</v>
      </c>
      <c r="J24" s="121">
        <f t="shared" si="10"/>
        <v>11130.709</v>
      </c>
      <c r="K24" s="121">
        <f t="shared" si="10"/>
        <v>10669.546</v>
      </c>
      <c r="L24" s="121">
        <f t="shared" si="10"/>
        <v>10252.914</v>
      </c>
      <c r="M24" s="121">
        <f t="shared" si="10"/>
        <v>10252.914</v>
      </c>
      <c r="N24" s="121">
        <f t="shared" si="10"/>
        <v>10523.369</v>
      </c>
      <c r="O24" s="121">
        <f t="shared" si="10"/>
        <v>10714.429</v>
      </c>
      <c r="P24" s="121">
        <f t="shared" si="10"/>
        <v>1274.922</v>
      </c>
      <c r="Q24" s="123">
        <f t="shared" si="10"/>
        <v>1014.551</v>
      </c>
      <c r="R24" s="121">
        <f t="shared" si="10"/>
        <v>853.5636799999993</v>
      </c>
      <c r="S24" s="121">
        <f t="shared" si="10"/>
        <v>410.1165600000004</v>
      </c>
      <c r="T24" s="121">
        <f t="shared" si="10"/>
        <v>410.1165600000004</v>
      </c>
      <c r="U24" s="121">
        <f>U26</f>
        <v>315.701070000001</v>
      </c>
      <c r="V24" s="121">
        <f t="shared" si="10"/>
        <v>321.43287000000055</v>
      </c>
      <c r="W24" s="90">
        <f t="shared" si="10"/>
        <v>3560</v>
      </c>
      <c r="X24" s="90">
        <f t="shared" si="10"/>
        <v>3467</v>
      </c>
      <c r="Y24" s="90">
        <f t="shared" si="10"/>
        <v>3420</v>
      </c>
      <c r="Z24" s="90">
        <f t="shared" si="10"/>
        <v>3400</v>
      </c>
      <c r="AA24" s="90">
        <f t="shared" si="10"/>
        <v>3400</v>
      </c>
      <c r="AB24" s="90">
        <f t="shared" si="10"/>
        <v>3400</v>
      </c>
      <c r="AC24" s="125">
        <f t="shared" si="10"/>
        <v>1259.57</v>
      </c>
      <c r="AD24" s="125">
        <f t="shared" si="10"/>
        <v>1436.466</v>
      </c>
      <c r="AE24" s="125">
        <f t="shared" si="10"/>
        <v>1437</v>
      </c>
      <c r="AF24" s="125">
        <f t="shared" si="10"/>
        <v>1492</v>
      </c>
      <c r="AG24" s="125">
        <f t="shared" si="10"/>
        <v>1584</v>
      </c>
      <c r="AH24" s="125">
        <f t="shared" si="10"/>
        <v>1679</v>
      </c>
      <c r="AI24" s="214">
        <f t="shared" si="8"/>
        <v>29484.31647940075</v>
      </c>
      <c r="AJ24" s="135">
        <f t="shared" si="8"/>
        <v>34527.112777617534</v>
      </c>
      <c r="AK24" s="135">
        <f t="shared" si="8"/>
        <v>35014.619883040934</v>
      </c>
      <c r="AL24" s="135">
        <f t="shared" si="8"/>
        <v>36568.62745098039</v>
      </c>
      <c r="AM24" s="135">
        <f t="shared" si="8"/>
        <v>38823.529411764706</v>
      </c>
      <c r="AN24" s="135">
        <f t="shared" si="8"/>
        <v>41151.96078431373</v>
      </c>
      <c r="AO24" s="82"/>
      <c r="AP24" s="82"/>
    </row>
    <row r="25" spans="1:42" ht="15.75" customHeight="1">
      <c r="A25" s="87" t="s">
        <v>85</v>
      </c>
      <c r="B25" s="126"/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19"/>
      <c r="S25" s="119"/>
      <c r="T25" s="119"/>
      <c r="U25" s="119"/>
      <c r="V25" s="119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133"/>
      <c r="AJ25" s="127"/>
      <c r="AK25" s="127"/>
      <c r="AL25" s="127"/>
      <c r="AM25" s="127"/>
      <c r="AN25" s="127"/>
      <c r="AO25" s="82"/>
      <c r="AP25" s="82"/>
    </row>
    <row r="26" spans="1:42" ht="16.5">
      <c r="A26" s="86" t="s">
        <v>137</v>
      </c>
      <c r="B26" s="95">
        <v>10322.6</v>
      </c>
      <c r="C26" s="136">
        <v>11071.506</v>
      </c>
      <c r="D26" s="95">
        <v>10669.546</v>
      </c>
      <c r="E26" s="95">
        <v>10252.914</v>
      </c>
      <c r="F26" s="95">
        <v>10252.914</v>
      </c>
      <c r="G26" s="95">
        <v>10523.369</v>
      </c>
      <c r="H26" s="95">
        <v>10714.429</v>
      </c>
      <c r="I26" s="95">
        <v>10322.6</v>
      </c>
      <c r="J26" s="95">
        <v>11130.709</v>
      </c>
      <c r="K26" s="95">
        <v>10669.546</v>
      </c>
      <c r="L26" s="95">
        <v>10252.914</v>
      </c>
      <c r="M26" s="95">
        <v>10252.914</v>
      </c>
      <c r="N26" s="95">
        <v>10523.369</v>
      </c>
      <c r="O26" s="95">
        <v>10714.429</v>
      </c>
      <c r="P26" s="124">
        <v>1274.922</v>
      </c>
      <c r="Q26" s="194">
        <v>1014.551</v>
      </c>
      <c r="R26" s="124">
        <f>K26-K26*92%</f>
        <v>853.5636799999993</v>
      </c>
      <c r="S26" s="124">
        <f>L26-L26*96%</f>
        <v>410.1165600000004</v>
      </c>
      <c r="T26" s="124">
        <f>M26-M26*96%</f>
        <v>410.1165600000004</v>
      </c>
      <c r="U26" s="124">
        <f>N26-N26*97%</f>
        <v>315.701070000001</v>
      </c>
      <c r="V26" s="124">
        <f>O26-O26*97%</f>
        <v>321.43287000000055</v>
      </c>
      <c r="W26" s="85">
        <v>3560</v>
      </c>
      <c r="X26" s="85">
        <v>3467</v>
      </c>
      <c r="Y26" s="85">
        <v>3420</v>
      </c>
      <c r="Z26" s="85">
        <v>3400</v>
      </c>
      <c r="AA26" s="85">
        <v>3400</v>
      </c>
      <c r="AB26" s="85">
        <v>3400</v>
      </c>
      <c r="AC26" s="85">
        <v>1259.57</v>
      </c>
      <c r="AD26" s="85">
        <v>1436.466</v>
      </c>
      <c r="AE26" s="89">
        <v>1437</v>
      </c>
      <c r="AF26" s="89">
        <v>1492</v>
      </c>
      <c r="AG26" s="89">
        <v>1584</v>
      </c>
      <c r="AH26" s="89">
        <v>1679</v>
      </c>
      <c r="AI26" s="215">
        <f aca="true" t="shared" si="11" ref="AI26:AN27">(AC26/W26)/12*1000000</f>
        <v>29484.31647940075</v>
      </c>
      <c r="AJ26" s="215">
        <f t="shared" si="11"/>
        <v>34527.112777617534</v>
      </c>
      <c r="AK26" s="215">
        <f t="shared" si="11"/>
        <v>35014.619883040934</v>
      </c>
      <c r="AL26" s="215">
        <f t="shared" si="11"/>
        <v>36568.62745098039</v>
      </c>
      <c r="AM26" s="215">
        <f t="shared" si="11"/>
        <v>38823.529411764706</v>
      </c>
      <c r="AN26" s="215">
        <f t="shared" si="11"/>
        <v>41151.96078431373</v>
      </c>
      <c r="AO26" s="82"/>
      <c r="AP26" s="82"/>
    </row>
    <row r="27" spans="1:42" ht="53.25" customHeight="1">
      <c r="A27" s="142" t="s">
        <v>4</v>
      </c>
      <c r="B27" s="120">
        <f aca="true" t="shared" si="12" ref="B27:AH27">B29+B30</f>
        <v>350.3</v>
      </c>
      <c r="C27" s="121">
        <f t="shared" si="12"/>
        <v>388.719</v>
      </c>
      <c r="D27" s="121">
        <f>D29+D30</f>
        <v>559.847</v>
      </c>
      <c r="E27" s="121">
        <f t="shared" si="12"/>
        <v>624.087</v>
      </c>
      <c r="F27" s="121">
        <f t="shared" si="12"/>
        <v>624.087</v>
      </c>
      <c r="G27" s="121">
        <f t="shared" si="12"/>
        <v>754.8340000000001</v>
      </c>
      <c r="H27" s="121">
        <f t="shared" si="12"/>
        <v>885.969</v>
      </c>
      <c r="I27" s="120">
        <f t="shared" si="12"/>
        <v>351.4</v>
      </c>
      <c r="J27" s="121">
        <f t="shared" si="12"/>
        <v>388.719</v>
      </c>
      <c r="K27" s="121">
        <f t="shared" si="12"/>
        <v>559.847</v>
      </c>
      <c r="L27" s="121">
        <f t="shared" si="12"/>
        <v>624.087</v>
      </c>
      <c r="M27" s="121">
        <f t="shared" si="12"/>
        <v>624.087</v>
      </c>
      <c r="N27" s="121">
        <f t="shared" si="12"/>
        <v>754.8340000000001</v>
      </c>
      <c r="O27" s="121">
        <f t="shared" si="12"/>
        <v>885.969</v>
      </c>
      <c r="P27" s="121">
        <f t="shared" si="12"/>
        <v>0.164</v>
      </c>
      <c r="Q27" s="123">
        <f t="shared" si="12"/>
        <v>0.023</v>
      </c>
      <c r="R27" s="123">
        <f t="shared" si="12"/>
        <v>72.64204999999998</v>
      </c>
      <c r="S27" s="123">
        <f t="shared" si="12"/>
        <v>70.27630999999998</v>
      </c>
      <c r="T27" s="123">
        <f t="shared" si="12"/>
        <v>70.27630999999998</v>
      </c>
      <c r="U27" s="123">
        <f t="shared" si="12"/>
        <v>78.17607999999998</v>
      </c>
      <c r="V27" s="123">
        <f t="shared" si="12"/>
        <v>140.16642000000004</v>
      </c>
      <c r="W27" s="120">
        <f t="shared" si="12"/>
        <v>182</v>
      </c>
      <c r="X27" s="120">
        <f t="shared" si="12"/>
        <v>188</v>
      </c>
      <c r="Y27" s="120">
        <f t="shared" si="12"/>
        <v>210</v>
      </c>
      <c r="Z27" s="120">
        <f t="shared" si="12"/>
        <v>222</v>
      </c>
      <c r="AA27" s="120">
        <f t="shared" si="12"/>
        <v>244</v>
      </c>
      <c r="AB27" s="120">
        <f t="shared" si="12"/>
        <v>257</v>
      </c>
      <c r="AC27" s="123">
        <f t="shared" si="12"/>
        <v>47.846</v>
      </c>
      <c r="AD27" s="123">
        <f t="shared" si="12"/>
        <v>54.887</v>
      </c>
      <c r="AE27" s="123">
        <f t="shared" si="12"/>
        <v>66.936</v>
      </c>
      <c r="AF27" s="123">
        <f t="shared" si="12"/>
        <v>73.212</v>
      </c>
      <c r="AG27" s="123">
        <f t="shared" si="12"/>
        <v>84.874</v>
      </c>
      <c r="AH27" s="123">
        <f t="shared" si="12"/>
        <v>90.194</v>
      </c>
      <c r="AI27" s="214">
        <f>(AC27/W27)/12*1000000</f>
        <v>21907.509157509154</v>
      </c>
      <c r="AJ27" s="214">
        <f>(AD27/X27)/12*1000000</f>
        <v>24329.343971631206</v>
      </c>
      <c r="AK27" s="214">
        <f t="shared" si="11"/>
        <v>26561.904761904763</v>
      </c>
      <c r="AL27" s="214">
        <f t="shared" si="11"/>
        <v>27481.981981981986</v>
      </c>
      <c r="AM27" s="214">
        <f t="shared" si="11"/>
        <v>28987.021857923497</v>
      </c>
      <c r="AN27" s="214">
        <f t="shared" si="11"/>
        <v>29245.784695201037</v>
      </c>
      <c r="AO27" s="82"/>
      <c r="AP27" s="82"/>
    </row>
    <row r="28" spans="1:42" ht="15.75" customHeight="1">
      <c r="A28" s="87" t="s">
        <v>85</v>
      </c>
      <c r="B28" s="119"/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26"/>
      <c r="Q28" s="126"/>
      <c r="R28" s="119"/>
      <c r="S28" s="119"/>
      <c r="T28" s="119"/>
      <c r="U28" s="119"/>
      <c r="V28" s="119"/>
      <c r="W28" s="85"/>
      <c r="X28" s="85"/>
      <c r="Y28" s="85"/>
      <c r="Z28" s="85"/>
      <c r="AA28" s="85"/>
      <c r="AB28" s="85"/>
      <c r="AC28" s="89"/>
      <c r="AD28" s="89"/>
      <c r="AE28" s="89"/>
      <c r="AF28" s="89"/>
      <c r="AG28" s="89"/>
      <c r="AH28" s="89"/>
      <c r="AI28" s="133"/>
      <c r="AJ28" s="127"/>
      <c r="AK28" s="127"/>
      <c r="AL28" s="127"/>
      <c r="AM28" s="127"/>
      <c r="AN28" s="127"/>
      <c r="AO28" s="82"/>
      <c r="AP28" s="82"/>
    </row>
    <row r="29" spans="1:42" ht="16.5">
      <c r="A29" s="86" t="s">
        <v>138</v>
      </c>
      <c r="B29" s="85">
        <v>59.2</v>
      </c>
      <c r="C29" s="85">
        <v>65.609</v>
      </c>
      <c r="D29" s="95">
        <v>78.1</v>
      </c>
      <c r="E29" s="95">
        <v>86.5</v>
      </c>
      <c r="F29" s="95">
        <v>86.5</v>
      </c>
      <c r="G29" s="95">
        <v>106.7</v>
      </c>
      <c r="H29" s="95">
        <v>109.6</v>
      </c>
      <c r="I29" s="85">
        <v>59.2</v>
      </c>
      <c r="J29" s="85">
        <v>65.609</v>
      </c>
      <c r="K29" s="95">
        <v>78.1</v>
      </c>
      <c r="L29" s="95">
        <v>86.5</v>
      </c>
      <c r="M29" s="95">
        <v>86.5</v>
      </c>
      <c r="N29" s="95">
        <v>106.7</v>
      </c>
      <c r="O29" s="95">
        <v>109.6</v>
      </c>
      <c r="P29" s="95">
        <v>0.164</v>
      </c>
      <c r="Q29" s="136">
        <v>0.023</v>
      </c>
      <c r="R29" s="136">
        <v>0.38</v>
      </c>
      <c r="S29" s="136">
        <v>0.39</v>
      </c>
      <c r="T29" s="136">
        <v>0.39</v>
      </c>
      <c r="U29" s="136">
        <v>0.4</v>
      </c>
      <c r="V29" s="136">
        <v>0.42</v>
      </c>
      <c r="W29" s="85">
        <v>68</v>
      </c>
      <c r="X29" s="85">
        <v>66</v>
      </c>
      <c r="Y29" s="85">
        <v>74</v>
      </c>
      <c r="Z29" s="85">
        <v>74</v>
      </c>
      <c r="AA29" s="85">
        <v>74</v>
      </c>
      <c r="AB29" s="85">
        <v>76</v>
      </c>
      <c r="AC29" s="89">
        <v>11.397</v>
      </c>
      <c r="AD29" s="89">
        <v>13.076</v>
      </c>
      <c r="AE29" s="89">
        <v>13.967</v>
      </c>
      <c r="AF29" s="89">
        <v>15.133</v>
      </c>
      <c r="AG29" s="89">
        <v>16.275</v>
      </c>
      <c r="AH29" s="89">
        <v>16.715</v>
      </c>
      <c r="AI29" s="215">
        <f aca="true" t="shared" si="13" ref="AI29:AN36">(AC29/W29)/12*1000000</f>
        <v>13966.911764705883</v>
      </c>
      <c r="AJ29" s="215">
        <f t="shared" si="13"/>
        <v>16510.101010101014</v>
      </c>
      <c r="AK29" s="215">
        <f t="shared" si="13"/>
        <v>15728.603603603606</v>
      </c>
      <c r="AL29" s="215">
        <f t="shared" si="13"/>
        <v>17041.666666666668</v>
      </c>
      <c r="AM29" s="215">
        <f t="shared" si="13"/>
        <v>18327.7027027027</v>
      </c>
      <c r="AN29" s="215">
        <f t="shared" si="13"/>
        <v>18327.85087719298</v>
      </c>
      <c r="AO29" s="82"/>
      <c r="AP29" s="82"/>
    </row>
    <row r="30" spans="1:42" ht="16.5">
      <c r="A30" s="86" t="s">
        <v>172</v>
      </c>
      <c r="B30" s="110">
        <v>291.1</v>
      </c>
      <c r="C30" s="110">
        <v>323.11</v>
      </c>
      <c r="D30" s="194">
        <v>481.747</v>
      </c>
      <c r="E30" s="194">
        <v>537.587</v>
      </c>
      <c r="F30" s="194">
        <v>537.587</v>
      </c>
      <c r="G30" s="194">
        <v>648.134</v>
      </c>
      <c r="H30" s="194">
        <v>776.369</v>
      </c>
      <c r="I30" s="110">
        <v>292.2</v>
      </c>
      <c r="J30" s="110">
        <v>323.11</v>
      </c>
      <c r="K30" s="194">
        <v>481.747</v>
      </c>
      <c r="L30" s="194">
        <v>537.587</v>
      </c>
      <c r="M30" s="194">
        <v>537.587</v>
      </c>
      <c r="N30" s="194">
        <v>648.134</v>
      </c>
      <c r="O30" s="194">
        <v>776.369</v>
      </c>
      <c r="P30" s="124">
        <v>0</v>
      </c>
      <c r="Q30" s="124">
        <v>0</v>
      </c>
      <c r="R30" s="124">
        <f>K30-K30*85%</f>
        <v>72.26204999999999</v>
      </c>
      <c r="S30" s="124">
        <f>L30-L30*87%</f>
        <v>69.88630999999998</v>
      </c>
      <c r="T30" s="124">
        <f>M30-M30*87%</f>
        <v>69.88630999999998</v>
      </c>
      <c r="U30" s="124">
        <f>N30-N30*88%</f>
        <v>77.77607999999998</v>
      </c>
      <c r="V30" s="124">
        <f>O30-O30*82%</f>
        <v>139.74642000000006</v>
      </c>
      <c r="W30" s="85">
        <v>114</v>
      </c>
      <c r="X30" s="85">
        <v>122</v>
      </c>
      <c r="Y30" s="85">
        <v>136</v>
      </c>
      <c r="Z30" s="85">
        <v>148</v>
      </c>
      <c r="AA30" s="85">
        <v>170</v>
      </c>
      <c r="AB30" s="85">
        <v>181</v>
      </c>
      <c r="AC30" s="89">
        <v>36.449</v>
      </c>
      <c r="AD30" s="89">
        <v>41.811</v>
      </c>
      <c r="AE30" s="89">
        <v>52.969</v>
      </c>
      <c r="AF30" s="89">
        <v>58.079</v>
      </c>
      <c r="AG30" s="89">
        <v>68.599</v>
      </c>
      <c r="AH30" s="89">
        <v>73.479</v>
      </c>
      <c r="AI30" s="215">
        <f t="shared" si="13"/>
        <v>26644.005847953216</v>
      </c>
      <c r="AJ30" s="215">
        <f t="shared" si="13"/>
        <v>28559.4262295082</v>
      </c>
      <c r="AK30" s="215">
        <f t="shared" si="13"/>
        <v>32456.495098039217</v>
      </c>
      <c r="AL30" s="215">
        <f t="shared" si="13"/>
        <v>32702.139639639638</v>
      </c>
      <c r="AM30" s="215">
        <f t="shared" si="13"/>
        <v>33626.96078431373</v>
      </c>
      <c r="AN30" s="215">
        <f t="shared" si="13"/>
        <v>33830.11049723757</v>
      </c>
      <c r="AO30" s="82"/>
      <c r="AP30" s="82"/>
    </row>
    <row r="31" spans="1:42" ht="69.75" customHeight="1">
      <c r="A31" s="143" t="s">
        <v>139</v>
      </c>
      <c r="B31" s="120">
        <f aca="true" t="shared" si="14" ref="B31:AH31">B33</f>
        <v>4</v>
      </c>
      <c r="C31" s="121">
        <f t="shared" si="14"/>
        <v>9.239</v>
      </c>
      <c r="D31" s="121">
        <f t="shared" si="14"/>
        <v>10.088988000000002</v>
      </c>
      <c r="E31" s="121">
        <f t="shared" si="14"/>
        <v>10.835573112000002</v>
      </c>
      <c r="F31" s="121">
        <f t="shared" si="14"/>
        <v>10.795217160000004</v>
      </c>
      <c r="G31" s="121">
        <f t="shared" si="14"/>
        <v>11.421339755280004</v>
      </c>
      <c r="H31" s="121">
        <f t="shared" si="14"/>
        <v>11.992406743044004</v>
      </c>
      <c r="I31" s="120">
        <f t="shared" si="14"/>
        <v>4</v>
      </c>
      <c r="J31" s="121">
        <f t="shared" si="14"/>
        <v>9.239</v>
      </c>
      <c r="K31" s="121">
        <f t="shared" si="14"/>
        <v>10.088988000000002</v>
      </c>
      <c r="L31" s="121">
        <f t="shared" si="14"/>
        <v>10.835573112000002</v>
      </c>
      <c r="M31" s="121">
        <f t="shared" si="14"/>
        <v>10.795217160000004</v>
      </c>
      <c r="N31" s="121">
        <f t="shared" si="14"/>
        <v>11.421339755280004</v>
      </c>
      <c r="O31" s="121">
        <f t="shared" si="14"/>
        <v>11.992406743044004</v>
      </c>
      <c r="P31" s="121">
        <f t="shared" si="14"/>
        <v>0</v>
      </c>
      <c r="Q31" s="121">
        <f t="shared" si="14"/>
        <v>0</v>
      </c>
      <c r="R31" s="121">
        <f t="shared" si="14"/>
        <v>0</v>
      </c>
      <c r="S31" s="121">
        <f t="shared" si="14"/>
        <v>0</v>
      </c>
      <c r="T31" s="121">
        <f t="shared" si="14"/>
        <v>0</v>
      </c>
      <c r="U31" s="121">
        <f t="shared" si="14"/>
        <v>0</v>
      </c>
      <c r="V31" s="121">
        <f t="shared" si="14"/>
        <v>0</v>
      </c>
      <c r="W31" s="90">
        <f t="shared" si="14"/>
        <v>14</v>
      </c>
      <c r="X31" s="90">
        <f t="shared" si="14"/>
        <v>22</v>
      </c>
      <c r="Y31" s="90">
        <f t="shared" si="14"/>
        <v>22</v>
      </c>
      <c r="Z31" s="90">
        <f t="shared" si="14"/>
        <v>22</v>
      </c>
      <c r="AA31" s="90">
        <f t="shared" si="14"/>
        <v>22</v>
      </c>
      <c r="AB31" s="90">
        <f t="shared" si="14"/>
        <v>22</v>
      </c>
      <c r="AC31" s="125">
        <f t="shared" si="14"/>
        <v>1.532</v>
      </c>
      <c r="AD31" s="125">
        <f t="shared" si="14"/>
        <v>3.39</v>
      </c>
      <c r="AE31" s="125">
        <f t="shared" si="14"/>
        <v>3.9357900000000003</v>
      </c>
      <c r="AF31" s="125">
        <f t="shared" si="14"/>
        <v>4.13651529</v>
      </c>
      <c r="AG31" s="125">
        <f t="shared" si="14"/>
        <v>4.33093150863</v>
      </c>
      <c r="AH31" s="125">
        <f t="shared" si="14"/>
        <v>4.52149249500972</v>
      </c>
      <c r="AI31" s="214">
        <f t="shared" si="13"/>
        <v>9119.047619047618</v>
      </c>
      <c r="AJ31" s="135">
        <f t="shared" si="13"/>
        <v>12840.90909090909</v>
      </c>
      <c r="AK31" s="135">
        <f t="shared" si="13"/>
        <v>14908.295454545458</v>
      </c>
      <c r="AL31" s="135">
        <f t="shared" si="13"/>
        <v>15668.618522727273</v>
      </c>
      <c r="AM31" s="135">
        <f t="shared" si="13"/>
        <v>16405.043593295457</v>
      </c>
      <c r="AN31" s="135">
        <f t="shared" si="13"/>
        <v>17126.86551140045</v>
      </c>
      <c r="AO31" s="82"/>
      <c r="AP31" s="82"/>
    </row>
    <row r="32" spans="1:42" ht="16.5">
      <c r="A32" s="86" t="s">
        <v>85</v>
      </c>
      <c r="B32" s="119"/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26"/>
      <c r="Q32" s="126"/>
      <c r="R32" s="119"/>
      <c r="S32" s="119"/>
      <c r="T32" s="119"/>
      <c r="U32" s="119"/>
      <c r="V32" s="119"/>
      <c r="W32" s="85"/>
      <c r="X32" s="85"/>
      <c r="Y32" s="85"/>
      <c r="Z32" s="85"/>
      <c r="AA32" s="85"/>
      <c r="AB32" s="85"/>
      <c r="AC32" s="89"/>
      <c r="AD32" s="89"/>
      <c r="AE32" s="89"/>
      <c r="AF32" s="89"/>
      <c r="AG32" s="89"/>
      <c r="AH32" s="89"/>
      <c r="AI32" s="133"/>
      <c r="AJ32" s="127"/>
      <c r="AK32" s="127"/>
      <c r="AL32" s="127"/>
      <c r="AM32" s="127"/>
      <c r="AN32" s="127"/>
      <c r="AO32" s="82"/>
      <c r="AP32" s="82"/>
    </row>
    <row r="33" spans="1:42" ht="16.5">
      <c r="A33" s="86" t="s">
        <v>140</v>
      </c>
      <c r="B33" s="85">
        <v>4</v>
      </c>
      <c r="C33" s="85">
        <v>9.239</v>
      </c>
      <c r="D33" s="95">
        <f>C33*100%*109.2%</f>
        <v>10.088988000000002</v>
      </c>
      <c r="E33" s="95">
        <f>D33*100%*107.4%</f>
        <v>10.835573112000002</v>
      </c>
      <c r="F33" s="95">
        <f>D33*100%*107%</f>
        <v>10.795217160000004</v>
      </c>
      <c r="G33" s="95">
        <f>F33*100%*105.8%</f>
        <v>11.421339755280004</v>
      </c>
      <c r="H33" s="95">
        <f>G33*100%*105%</f>
        <v>11.992406743044004</v>
      </c>
      <c r="I33" s="85">
        <v>4</v>
      </c>
      <c r="J33" s="85">
        <v>9.239</v>
      </c>
      <c r="K33" s="95">
        <f>J33*100%*109.2%</f>
        <v>10.088988000000002</v>
      </c>
      <c r="L33" s="95">
        <f>K33*100%*107.4%</f>
        <v>10.835573112000002</v>
      </c>
      <c r="M33" s="95">
        <f>K33*100%*107%</f>
        <v>10.795217160000004</v>
      </c>
      <c r="N33" s="95">
        <f>M33*100%*105.8%</f>
        <v>11.421339755280004</v>
      </c>
      <c r="O33" s="95">
        <f>N33*100%*105%</f>
        <v>11.992406743044004</v>
      </c>
      <c r="P33" s="95">
        <v>0</v>
      </c>
      <c r="Q33" s="95">
        <v>0</v>
      </c>
      <c r="R33" s="95">
        <v>0</v>
      </c>
      <c r="S33" s="95">
        <v>0</v>
      </c>
      <c r="T33" s="95">
        <v>0</v>
      </c>
      <c r="U33" s="95">
        <v>0</v>
      </c>
      <c r="V33" s="95">
        <v>0</v>
      </c>
      <c r="W33" s="85">
        <v>14</v>
      </c>
      <c r="X33" s="85">
        <v>22</v>
      </c>
      <c r="Y33" s="85">
        <v>22</v>
      </c>
      <c r="Z33" s="85">
        <v>22</v>
      </c>
      <c r="AA33" s="85">
        <v>22</v>
      </c>
      <c r="AB33" s="85">
        <v>22</v>
      </c>
      <c r="AC33" s="89">
        <v>1.532</v>
      </c>
      <c r="AD33" s="89">
        <v>3.39</v>
      </c>
      <c r="AE33" s="89">
        <f>AD33*1.161</f>
        <v>3.9357900000000003</v>
      </c>
      <c r="AF33" s="89">
        <f>AE33*1.051</f>
        <v>4.13651529</v>
      </c>
      <c r="AG33" s="89">
        <f>AF33*1.047</f>
        <v>4.33093150863</v>
      </c>
      <c r="AH33" s="89">
        <f>AG33*1.044</f>
        <v>4.52149249500972</v>
      </c>
      <c r="AI33" s="215">
        <f t="shared" si="13"/>
        <v>9119.047619047618</v>
      </c>
      <c r="AJ33" s="215">
        <f t="shared" si="13"/>
        <v>12840.90909090909</v>
      </c>
      <c r="AK33" s="215">
        <f>(AE33/Y33)/12*1000000</f>
        <v>14908.295454545458</v>
      </c>
      <c r="AL33" s="215">
        <f>(AF33/Z33)/12*1000000</f>
        <v>15668.618522727273</v>
      </c>
      <c r="AM33" s="215">
        <f>(AG33/AA33)/12*1000000</f>
        <v>16405.043593295457</v>
      </c>
      <c r="AN33" s="215">
        <f>(AH33/AB33)/12*1000000</f>
        <v>17126.86551140045</v>
      </c>
      <c r="AO33" s="82"/>
      <c r="AP33" s="82"/>
    </row>
    <row r="34" spans="1:42" ht="33" customHeight="1" hidden="1">
      <c r="A34" s="143" t="s">
        <v>246</v>
      </c>
      <c r="B34" s="110">
        <f>B35</f>
        <v>13.5</v>
      </c>
      <c r="C34" s="110"/>
      <c r="D34" s="110"/>
      <c r="E34" s="110"/>
      <c r="F34" s="110"/>
      <c r="G34" s="110"/>
      <c r="H34" s="110"/>
      <c r="I34" s="110">
        <f>I35</f>
        <v>13.5</v>
      </c>
      <c r="J34" s="110"/>
      <c r="K34" s="110"/>
      <c r="L34" s="110"/>
      <c r="M34" s="110"/>
      <c r="N34" s="110"/>
      <c r="O34" s="110"/>
      <c r="P34" s="124">
        <f>P35</f>
        <v>0</v>
      </c>
      <c r="Q34" s="124"/>
      <c r="R34" s="110"/>
      <c r="S34" s="110"/>
      <c r="T34" s="110"/>
      <c r="U34" s="110"/>
      <c r="V34" s="110"/>
      <c r="W34" s="110">
        <f>W35</f>
        <v>36</v>
      </c>
      <c r="X34" s="110"/>
      <c r="Y34" s="110"/>
      <c r="Z34" s="110"/>
      <c r="AA34" s="110"/>
      <c r="AB34" s="110"/>
      <c r="AC34" s="110">
        <f>AC35</f>
        <v>7.26</v>
      </c>
      <c r="AD34" s="110"/>
      <c r="AE34" s="110"/>
      <c r="AF34" s="110"/>
      <c r="AG34" s="110"/>
      <c r="AH34" s="110"/>
      <c r="AI34" s="133">
        <f t="shared" si="13"/>
        <v>16805.555555555555</v>
      </c>
      <c r="AJ34" s="110"/>
      <c r="AK34" s="110"/>
      <c r="AL34" s="110"/>
      <c r="AM34" s="110"/>
      <c r="AN34" s="110"/>
      <c r="AO34" s="82"/>
      <c r="AP34" s="82"/>
    </row>
    <row r="35" spans="1:42" ht="16.5" customHeight="1" hidden="1">
      <c r="A35" s="143" t="s">
        <v>247</v>
      </c>
      <c r="B35" s="85">
        <v>13.5</v>
      </c>
      <c r="C35" s="85"/>
      <c r="D35" s="85"/>
      <c r="E35" s="85"/>
      <c r="F35" s="85"/>
      <c r="G35" s="85"/>
      <c r="H35" s="85"/>
      <c r="I35" s="85">
        <v>13.5</v>
      </c>
      <c r="J35" s="85"/>
      <c r="K35" s="85"/>
      <c r="L35" s="85"/>
      <c r="M35" s="85"/>
      <c r="N35" s="85"/>
      <c r="O35" s="85"/>
      <c r="P35" s="95">
        <v>0</v>
      </c>
      <c r="Q35" s="95"/>
      <c r="R35" s="85"/>
      <c r="S35" s="85"/>
      <c r="T35" s="85"/>
      <c r="U35" s="85"/>
      <c r="V35" s="85"/>
      <c r="W35" s="85">
        <v>36</v>
      </c>
      <c r="X35" s="85"/>
      <c r="Y35" s="85"/>
      <c r="Z35" s="85"/>
      <c r="AA35" s="85"/>
      <c r="AB35" s="85"/>
      <c r="AC35" s="89">
        <v>7.26</v>
      </c>
      <c r="AD35" s="89"/>
      <c r="AE35" s="89"/>
      <c r="AF35" s="89"/>
      <c r="AG35" s="89"/>
      <c r="AH35" s="89"/>
      <c r="AI35" s="133">
        <f t="shared" si="13"/>
        <v>16805.555555555555</v>
      </c>
      <c r="AJ35" s="127"/>
      <c r="AK35" s="127"/>
      <c r="AL35" s="127"/>
      <c r="AM35" s="127"/>
      <c r="AN35" s="127"/>
      <c r="AO35" s="82"/>
      <c r="AP35" s="82"/>
    </row>
    <row r="36" spans="1:42" ht="66">
      <c r="A36" s="91" t="s">
        <v>5</v>
      </c>
      <c r="B36" s="209">
        <f aca="true" t="shared" si="15" ref="B36:T36">B38+B39+B40</f>
        <v>325.8</v>
      </c>
      <c r="C36" s="115">
        <f t="shared" si="15"/>
        <v>350.582</v>
      </c>
      <c r="D36" s="115">
        <f t="shared" si="15"/>
        <v>395.1180396552</v>
      </c>
      <c r="E36" s="118">
        <f t="shared" si="15"/>
        <v>416.273527791804</v>
      </c>
      <c r="F36" s="115">
        <f t="shared" si="15"/>
        <v>416.273527791804</v>
      </c>
      <c r="G36" s="115">
        <f t="shared" si="15"/>
        <v>447.1096139150738</v>
      </c>
      <c r="H36" s="115">
        <f t="shared" si="15"/>
        <v>476.84363391977786</v>
      </c>
      <c r="I36" s="115">
        <f t="shared" si="15"/>
        <v>325.8</v>
      </c>
      <c r="J36" s="115">
        <f t="shared" si="15"/>
        <v>350.582</v>
      </c>
      <c r="K36" s="115">
        <f t="shared" si="15"/>
        <v>395.1180396552</v>
      </c>
      <c r="L36" s="118">
        <f t="shared" si="15"/>
        <v>416.273527791804</v>
      </c>
      <c r="M36" s="115">
        <f t="shared" si="15"/>
        <v>416.273527791804</v>
      </c>
      <c r="N36" s="118">
        <f t="shared" si="15"/>
        <v>447.1096139150738</v>
      </c>
      <c r="O36" s="115">
        <f t="shared" si="15"/>
        <v>476.84363391977786</v>
      </c>
      <c r="P36" s="115">
        <f t="shared" si="15"/>
        <v>2.4139999999999997</v>
      </c>
      <c r="Q36" s="115">
        <f t="shared" si="15"/>
        <v>0.401</v>
      </c>
      <c r="R36" s="115">
        <f t="shared" si="15"/>
        <v>0.431877</v>
      </c>
      <c r="S36" s="115">
        <f t="shared" si="15"/>
        <v>0.463404021</v>
      </c>
      <c r="T36" s="115">
        <f t="shared" si="15"/>
        <v>0.463404021</v>
      </c>
      <c r="U36" s="115">
        <f>U38+U39+U40</f>
        <v>0.49908613061699997</v>
      </c>
      <c r="V36" s="115">
        <f>V38+V39+V40</f>
        <v>0.526036781670318</v>
      </c>
      <c r="W36" s="92">
        <f>W38+W39+W40+W41+W42</f>
        <v>798</v>
      </c>
      <c r="X36" s="92">
        <f aca="true" t="shared" si="16" ref="X36:AD36">X38+X39+X40+X41+X42</f>
        <v>827</v>
      </c>
      <c r="Y36" s="92">
        <f t="shared" si="16"/>
        <v>827</v>
      </c>
      <c r="Z36" s="92">
        <f t="shared" si="16"/>
        <v>827</v>
      </c>
      <c r="AA36" s="92">
        <f t="shared" si="16"/>
        <v>827</v>
      </c>
      <c r="AB36" s="92">
        <f t="shared" si="16"/>
        <v>827</v>
      </c>
      <c r="AC36" s="94">
        <f t="shared" si="16"/>
        <v>298.778</v>
      </c>
      <c r="AD36" s="94">
        <f t="shared" si="16"/>
        <v>334.622</v>
      </c>
      <c r="AE36" s="94">
        <f>AE38+AE39+AE40+AE41+AE42</f>
        <v>352.133814</v>
      </c>
      <c r="AF36" s="94">
        <f>AF38+AF39+AF40+AF41+AF42</f>
        <v>370.09231651399995</v>
      </c>
      <c r="AG36" s="94">
        <f>AG38+AG39+AG40+AG41+AG42</f>
        <v>387.48676139015794</v>
      </c>
      <c r="AH36" s="94">
        <f>AH38+AH39+AH40+AH41+AH42</f>
        <v>404.53601489132495</v>
      </c>
      <c r="AI36" s="133">
        <f t="shared" si="13"/>
        <v>31200.71010860485</v>
      </c>
      <c r="AJ36" s="133">
        <f t="shared" si="13"/>
        <v>33718.46029826683</v>
      </c>
      <c r="AK36" s="133">
        <f t="shared" si="13"/>
        <v>35483.052599758164</v>
      </c>
      <c r="AL36" s="133">
        <f t="shared" si="13"/>
        <v>37292.655835751706</v>
      </c>
      <c r="AM36" s="133">
        <f t="shared" si="13"/>
        <v>39045.42134120898</v>
      </c>
      <c r="AN36" s="133">
        <f t="shared" si="13"/>
        <v>40763.40335462766</v>
      </c>
      <c r="AO36" s="82"/>
      <c r="AP36" s="82"/>
    </row>
    <row r="37" spans="1:42" ht="15.75" customHeight="1">
      <c r="A37" s="93" t="s">
        <v>85</v>
      </c>
      <c r="B37" s="119"/>
      <c r="C37" s="119"/>
      <c r="D37" s="119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26"/>
      <c r="Q37" s="126"/>
      <c r="R37" s="119"/>
      <c r="S37" s="119"/>
      <c r="T37" s="119"/>
      <c r="U37" s="119"/>
      <c r="V37" s="119"/>
      <c r="W37" s="85"/>
      <c r="X37" s="85"/>
      <c r="Y37" s="85"/>
      <c r="Z37" s="85"/>
      <c r="AA37" s="85"/>
      <c r="AB37" s="85"/>
      <c r="AC37" s="89"/>
      <c r="AD37" s="89"/>
      <c r="AE37" s="89"/>
      <c r="AF37" s="89"/>
      <c r="AG37" s="89"/>
      <c r="AH37" s="89"/>
      <c r="AI37" s="133"/>
      <c r="AJ37" s="127"/>
      <c r="AK37" s="127"/>
      <c r="AL37" s="127"/>
      <c r="AM37" s="127"/>
      <c r="AN37" s="127"/>
      <c r="AO37" s="82"/>
      <c r="AP37" s="82"/>
    </row>
    <row r="38" spans="1:42" ht="16.5">
      <c r="A38" s="86" t="s">
        <v>141</v>
      </c>
      <c r="B38" s="85">
        <v>29.6</v>
      </c>
      <c r="C38" s="85">
        <v>35.143</v>
      </c>
      <c r="D38" s="95">
        <f>C38*100%*107.7%</f>
        <v>37.849011</v>
      </c>
      <c r="E38" s="95">
        <f>D38*100%*107.3%</f>
        <v>40.611988802999996</v>
      </c>
      <c r="F38" s="95">
        <f>D38*100%*107.3%</f>
        <v>40.611988802999996</v>
      </c>
      <c r="G38" s="95">
        <f>F38*100%*107.7%</f>
        <v>43.739111940830995</v>
      </c>
      <c r="H38" s="95">
        <f>G38*100%*105.4%</f>
        <v>46.10102398563587</v>
      </c>
      <c r="I38" s="85">
        <v>29.6</v>
      </c>
      <c r="J38" s="85">
        <v>35.143</v>
      </c>
      <c r="K38" s="95">
        <f>J38*100%*107.7%</f>
        <v>37.849011</v>
      </c>
      <c r="L38" s="95">
        <f>K38*100%*107.3%</f>
        <v>40.611988802999996</v>
      </c>
      <c r="M38" s="95">
        <f>K38*100%*107.3%</f>
        <v>40.611988802999996</v>
      </c>
      <c r="N38" s="95">
        <f>M38*100%*107.7%</f>
        <v>43.739111940830995</v>
      </c>
      <c r="O38" s="95">
        <f>N38*100%*105.4%</f>
        <v>46.10102398563587</v>
      </c>
      <c r="P38" s="95">
        <v>0</v>
      </c>
      <c r="Q38" s="95">
        <v>0</v>
      </c>
      <c r="R38" s="95">
        <v>0</v>
      </c>
      <c r="S38" s="95">
        <v>0</v>
      </c>
      <c r="T38" s="95">
        <v>0</v>
      </c>
      <c r="U38" s="95">
        <v>0</v>
      </c>
      <c r="V38" s="95">
        <v>0</v>
      </c>
      <c r="W38" s="85">
        <v>54</v>
      </c>
      <c r="X38" s="85">
        <v>55</v>
      </c>
      <c r="Y38" s="85">
        <v>55</v>
      </c>
      <c r="Z38" s="85">
        <v>55</v>
      </c>
      <c r="AA38" s="85">
        <v>55</v>
      </c>
      <c r="AB38" s="85">
        <v>55</v>
      </c>
      <c r="AC38" s="89">
        <v>10.62</v>
      </c>
      <c r="AD38" s="89">
        <v>12.194</v>
      </c>
      <c r="AE38" s="89">
        <f>AD38*1.029</f>
        <v>12.547626</v>
      </c>
      <c r="AF38" s="89">
        <f>AE38*1.051</f>
        <v>13.187554925999999</v>
      </c>
      <c r="AG38" s="89">
        <f>AF38*1.047</f>
        <v>13.807370007521998</v>
      </c>
      <c r="AH38" s="89">
        <f>AG38*1.044</f>
        <v>14.414894287852967</v>
      </c>
      <c r="AI38" s="215">
        <f aca="true" t="shared" si="17" ref="AI38:AN43">(AC38/W38)/12*1000000</f>
        <v>16388.888888888887</v>
      </c>
      <c r="AJ38" s="215">
        <f t="shared" si="17"/>
        <v>18475.757575757576</v>
      </c>
      <c r="AK38" s="215">
        <f t="shared" si="17"/>
        <v>19011.554545454546</v>
      </c>
      <c r="AL38" s="215">
        <f t="shared" si="17"/>
        <v>19981.143827272725</v>
      </c>
      <c r="AM38" s="215">
        <f t="shared" si="17"/>
        <v>20920.25758715454</v>
      </c>
      <c r="AN38" s="215">
        <f t="shared" si="17"/>
        <v>21840.748920989343</v>
      </c>
      <c r="AO38" s="82"/>
      <c r="AP38" s="82"/>
    </row>
    <row r="39" spans="1:42" ht="16.5">
      <c r="A39" s="86" t="s">
        <v>142</v>
      </c>
      <c r="B39" s="85">
        <v>173</v>
      </c>
      <c r="C39" s="85">
        <v>185.926</v>
      </c>
      <c r="D39" s="95">
        <f>C39*108.76%*107.7%</f>
        <v>217.7835276552</v>
      </c>
      <c r="E39" s="95">
        <f>D39*96.71%*107.3%</f>
        <v>225.993596415804</v>
      </c>
      <c r="F39" s="95">
        <f>D39*96.71%*107.3%</f>
        <v>225.993596415804</v>
      </c>
      <c r="G39" s="95">
        <f>F39*99.5%*107.7%</f>
        <v>242.1781278231218</v>
      </c>
      <c r="H39" s="95">
        <f>G39*102.19%*105.4%</f>
        <v>260.8458475788604</v>
      </c>
      <c r="I39" s="85">
        <v>173</v>
      </c>
      <c r="J39" s="85">
        <v>185.926</v>
      </c>
      <c r="K39" s="95">
        <f>J39*108.76%*107.7%</f>
        <v>217.7835276552</v>
      </c>
      <c r="L39" s="95">
        <f>K39*96.71%*107.3%</f>
        <v>225.993596415804</v>
      </c>
      <c r="M39" s="95">
        <f>K39*96.71%*107.3%</f>
        <v>225.993596415804</v>
      </c>
      <c r="N39" s="95">
        <f>M39*99.5%*107.7%</f>
        <v>242.1781278231218</v>
      </c>
      <c r="O39" s="95">
        <f>N39*102.19%*105.4%</f>
        <v>260.8458475788604</v>
      </c>
      <c r="P39" s="95">
        <v>0.405</v>
      </c>
      <c r="Q39" s="136">
        <v>0.401</v>
      </c>
      <c r="R39" s="89">
        <f>Q39*107.7%</f>
        <v>0.431877</v>
      </c>
      <c r="S39" s="89">
        <f>R39*107.3%</f>
        <v>0.463404021</v>
      </c>
      <c r="T39" s="89">
        <f>R39*107.3%</f>
        <v>0.463404021</v>
      </c>
      <c r="U39" s="89">
        <f>T39*107.7%</f>
        <v>0.49908613061699997</v>
      </c>
      <c r="V39" s="89">
        <f>U39*105.4%</f>
        <v>0.526036781670318</v>
      </c>
      <c r="W39" s="85">
        <v>114</v>
      </c>
      <c r="X39" s="85">
        <v>114</v>
      </c>
      <c r="Y39" s="85">
        <v>114</v>
      </c>
      <c r="Z39" s="85">
        <v>114</v>
      </c>
      <c r="AA39" s="85">
        <v>114</v>
      </c>
      <c r="AB39" s="85">
        <v>114</v>
      </c>
      <c r="AC39" s="89">
        <v>32.015</v>
      </c>
      <c r="AD39" s="89">
        <v>37.758</v>
      </c>
      <c r="AE39" s="89">
        <f>AD39*1.029</f>
        <v>38.852982</v>
      </c>
      <c r="AF39" s="89">
        <f>AE39*1.051</f>
        <v>40.834484081999996</v>
      </c>
      <c r="AG39" s="89">
        <f>AF39*1.047</f>
        <v>42.753704833853995</v>
      </c>
      <c r="AH39" s="89">
        <f>AG39*1.044</f>
        <v>44.63486784654357</v>
      </c>
      <c r="AI39" s="215">
        <f t="shared" si="17"/>
        <v>23402.777777777777</v>
      </c>
      <c r="AJ39" s="215">
        <f t="shared" si="17"/>
        <v>27600.877192982458</v>
      </c>
      <c r="AK39" s="215">
        <f t="shared" si="17"/>
        <v>28401.302631578947</v>
      </c>
      <c r="AL39" s="215">
        <f t="shared" si="17"/>
        <v>29849.76906578947</v>
      </c>
      <c r="AM39" s="215">
        <f t="shared" si="17"/>
        <v>31252.708211881578</v>
      </c>
      <c r="AN39" s="215">
        <f t="shared" si="17"/>
        <v>32627.82737320436</v>
      </c>
      <c r="AO39" s="82"/>
      <c r="AP39" s="82"/>
    </row>
    <row r="40" spans="1:42" ht="16.5">
      <c r="A40" s="86" t="s">
        <v>143</v>
      </c>
      <c r="B40" s="85">
        <v>123.2</v>
      </c>
      <c r="C40" s="85">
        <v>129.513</v>
      </c>
      <c r="D40" s="95">
        <f>C40*100%*107.7%</f>
        <v>139.485501</v>
      </c>
      <c r="E40" s="95">
        <f>D40*100%*107.3%</f>
        <v>149.667942573</v>
      </c>
      <c r="F40" s="95">
        <f>D40*100%*107.3%</f>
        <v>149.667942573</v>
      </c>
      <c r="G40" s="95">
        <f>F40*100%*107.7%</f>
        <v>161.192374151121</v>
      </c>
      <c r="H40" s="95">
        <f>G40*100%*105.4%</f>
        <v>169.89676235528154</v>
      </c>
      <c r="I40" s="85">
        <v>123.2</v>
      </c>
      <c r="J40" s="85">
        <v>129.513</v>
      </c>
      <c r="K40" s="95">
        <f>J40*100%*107.7%</f>
        <v>139.485501</v>
      </c>
      <c r="L40" s="95">
        <f>K40*100%*107.3%</f>
        <v>149.667942573</v>
      </c>
      <c r="M40" s="95">
        <f>K40*100%*107.3%</f>
        <v>149.667942573</v>
      </c>
      <c r="N40" s="95">
        <f>M40*100%*107.7%</f>
        <v>161.192374151121</v>
      </c>
      <c r="O40" s="95">
        <f>N40*100%*105.4%</f>
        <v>169.89676235528154</v>
      </c>
      <c r="P40" s="95">
        <v>2.009</v>
      </c>
      <c r="Q40" s="95">
        <v>0</v>
      </c>
      <c r="R40" s="95">
        <v>0</v>
      </c>
      <c r="S40" s="95">
        <v>0</v>
      </c>
      <c r="T40" s="95">
        <v>0</v>
      </c>
      <c r="U40" s="95">
        <v>0</v>
      </c>
      <c r="V40" s="95">
        <v>0</v>
      </c>
      <c r="W40" s="85">
        <v>147</v>
      </c>
      <c r="X40" s="85">
        <v>171</v>
      </c>
      <c r="Y40" s="85">
        <v>171</v>
      </c>
      <c r="Z40" s="85">
        <v>171</v>
      </c>
      <c r="AA40" s="85">
        <v>171</v>
      </c>
      <c r="AB40" s="85">
        <v>171</v>
      </c>
      <c r="AC40" s="89">
        <v>39.074</v>
      </c>
      <c r="AD40" s="89">
        <v>48.888</v>
      </c>
      <c r="AE40" s="89">
        <f>AD40*1.029</f>
        <v>50.30575199999999</v>
      </c>
      <c r="AF40" s="89">
        <f>AE40*1.051</f>
        <v>52.871345351999985</v>
      </c>
      <c r="AG40" s="89">
        <f>AF40*1.047</f>
        <v>55.35629858354398</v>
      </c>
      <c r="AH40" s="89">
        <f>AG40*1.044</f>
        <v>57.79197572121992</v>
      </c>
      <c r="AI40" s="215">
        <f t="shared" si="17"/>
        <v>22150.793650793647</v>
      </c>
      <c r="AJ40" s="215">
        <f t="shared" si="17"/>
        <v>23824.56140350877</v>
      </c>
      <c r="AK40" s="215">
        <f t="shared" si="17"/>
        <v>24515.47368421052</v>
      </c>
      <c r="AL40" s="215">
        <f t="shared" si="17"/>
        <v>25765.762842105254</v>
      </c>
      <c r="AM40" s="215">
        <f t="shared" si="17"/>
        <v>26976.7536956842</v>
      </c>
      <c r="AN40" s="215">
        <f t="shared" si="17"/>
        <v>28163.730858294308</v>
      </c>
      <c r="AO40" s="82"/>
      <c r="AP40" s="82"/>
    </row>
    <row r="41" spans="1:42" ht="33">
      <c r="A41" s="86" t="s">
        <v>145</v>
      </c>
      <c r="B41" s="377" t="s">
        <v>168</v>
      </c>
      <c r="C41" s="378"/>
      <c r="D41" s="378"/>
      <c r="E41" s="378"/>
      <c r="F41" s="378"/>
      <c r="G41" s="378"/>
      <c r="H41" s="379"/>
      <c r="I41" s="119"/>
      <c r="J41" s="119"/>
      <c r="K41" s="119"/>
      <c r="L41" s="119"/>
      <c r="M41" s="119"/>
      <c r="N41" s="119"/>
      <c r="O41" s="119"/>
      <c r="P41" s="126"/>
      <c r="Q41" s="126"/>
      <c r="R41" s="119"/>
      <c r="S41" s="119"/>
      <c r="T41" s="119"/>
      <c r="U41" s="119"/>
      <c r="V41" s="119"/>
      <c r="W41" s="85">
        <v>396</v>
      </c>
      <c r="X41" s="85">
        <v>400</v>
      </c>
      <c r="Y41" s="85">
        <v>400</v>
      </c>
      <c r="Z41" s="85">
        <v>400</v>
      </c>
      <c r="AA41" s="85">
        <v>400</v>
      </c>
      <c r="AB41" s="85">
        <v>400</v>
      </c>
      <c r="AC41" s="89">
        <v>185.771</v>
      </c>
      <c r="AD41" s="89">
        <v>205.456</v>
      </c>
      <c r="AE41" s="89">
        <v>219.222</v>
      </c>
      <c r="AF41" s="89">
        <v>230.402</v>
      </c>
      <c r="AG41" s="89">
        <v>241.231</v>
      </c>
      <c r="AH41" s="89">
        <v>251.845</v>
      </c>
      <c r="AI41" s="215">
        <f t="shared" si="17"/>
        <v>39093.2239057239</v>
      </c>
      <c r="AJ41" s="127">
        <f t="shared" si="17"/>
        <v>42803.33333333333</v>
      </c>
      <c r="AK41" s="127">
        <f t="shared" si="17"/>
        <v>45671.25</v>
      </c>
      <c r="AL41" s="127">
        <f t="shared" si="17"/>
        <v>48000.416666666664</v>
      </c>
      <c r="AM41" s="127">
        <f t="shared" si="17"/>
        <v>50256.45833333333</v>
      </c>
      <c r="AN41" s="127">
        <f t="shared" si="17"/>
        <v>52467.708333333336</v>
      </c>
      <c r="AO41" s="82"/>
      <c r="AP41" s="82"/>
    </row>
    <row r="42" spans="1:42" ht="33">
      <c r="A42" s="88" t="s">
        <v>144</v>
      </c>
      <c r="B42" s="377" t="s">
        <v>168</v>
      </c>
      <c r="C42" s="378"/>
      <c r="D42" s="378"/>
      <c r="E42" s="378"/>
      <c r="F42" s="378"/>
      <c r="G42" s="378"/>
      <c r="H42" s="379"/>
      <c r="I42" s="119"/>
      <c r="J42" s="119"/>
      <c r="K42" s="119"/>
      <c r="L42" s="119"/>
      <c r="M42" s="119"/>
      <c r="N42" s="119"/>
      <c r="O42" s="119"/>
      <c r="P42" s="126"/>
      <c r="Q42" s="126"/>
      <c r="R42" s="119"/>
      <c r="S42" s="119"/>
      <c r="T42" s="119"/>
      <c r="U42" s="119"/>
      <c r="V42" s="119"/>
      <c r="W42" s="85">
        <v>87</v>
      </c>
      <c r="X42" s="85">
        <v>87</v>
      </c>
      <c r="Y42" s="85">
        <v>87</v>
      </c>
      <c r="Z42" s="85">
        <v>87</v>
      </c>
      <c r="AA42" s="85">
        <v>87</v>
      </c>
      <c r="AB42" s="85">
        <v>87</v>
      </c>
      <c r="AC42" s="89">
        <v>31.298</v>
      </c>
      <c r="AD42" s="89">
        <v>30.326</v>
      </c>
      <c r="AE42" s="89">
        <f>AD42*1.029</f>
        <v>31.205454</v>
      </c>
      <c r="AF42" s="89">
        <f>AE42*1.051</f>
        <v>32.796932154</v>
      </c>
      <c r="AG42" s="89">
        <f>AF42*1.047</f>
        <v>34.33838796523799</v>
      </c>
      <c r="AH42" s="89">
        <f>AG42*1.044</f>
        <v>35.84927703570847</v>
      </c>
      <c r="AI42" s="215">
        <f t="shared" si="17"/>
        <v>29978.927203065134</v>
      </c>
      <c r="AJ42" s="127">
        <f t="shared" si="17"/>
        <v>29047.892720306514</v>
      </c>
      <c r="AK42" s="127">
        <f t="shared" si="17"/>
        <v>29890.281609195405</v>
      </c>
      <c r="AL42" s="127">
        <f t="shared" si="17"/>
        <v>31414.685971264364</v>
      </c>
      <c r="AM42" s="127">
        <f t="shared" si="17"/>
        <v>32891.176211913786</v>
      </c>
      <c r="AN42" s="127">
        <f t="shared" si="17"/>
        <v>34338.38796523799</v>
      </c>
      <c r="AO42" s="82"/>
      <c r="AP42" s="82"/>
    </row>
    <row r="43" spans="1:42" ht="15.75" customHeight="1">
      <c r="A43" s="91" t="s">
        <v>6</v>
      </c>
      <c r="B43" s="117">
        <f aca="true" t="shared" si="18" ref="B43:V43">B45+B46+B47+B48+B49+B50+B51</f>
        <v>962.2360000000001</v>
      </c>
      <c r="C43" s="117">
        <f t="shared" si="18"/>
        <v>1492.7060000000001</v>
      </c>
      <c r="D43" s="115">
        <f t="shared" si="18"/>
        <v>1680.802765</v>
      </c>
      <c r="E43" s="118">
        <f t="shared" si="18"/>
        <v>1309.3546580149998</v>
      </c>
      <c r="F43" s="115">
        <f t="shared" si="18"/>
        <v>1308.43650325</v>
      </c>
      <c r="G43" s="115">
        <f t="shared" si="18"/>
        <v>1408.6677534189998</v>
      </c>
      <c r="H43" s="115">
        <f t="shared" si="18"/>
        <v>1505.4650535831124</v>
      </c>
      <c r="I43" s="117">
        <f t="shared" si="18"/>
        <v>984.04</v>
      </c>
      <c r="J43" s="115">
        <f t="shared" si="18"/>
        <v>1502.366</v>
      </c>
      <c r="K43" s="115">
        <f t="shared" si="18"/>
        <v>1680.802765</v>
      </c>
      <c r="L43" s="118">
        <f t="shared" si="18"/>
        <v>1309.3546580149998</v>
      </c>
      <c r="M43" s="115">
        <f t="shared" si="18"/>
        <v>1308.43650325</v>
      </c>
      <c r="N43" s="118">
        <f t="shared" si="18"/>
        <v>1408.6677534189998</v>
      </c>
      <c r="O43" s="115">
        <f t="shared" si="18"/>
        <v>1505.4650535831124</v>
      </c>
      <c r="P43" s="117">
        <f t="shared" si="18"/>
        <v>27.445999999999998</v>
      </c>
      <c r="Q43" s="115">
        <f t="shared" si="18"/>
        <v>136.798</v>
      </c>
      <c r="R43" s="115">
        <f t="shared" si="18"/>
        <v>125.01538</v>
      </c>
      <c r="S43" s="115">
        <f t="shared" si="18"/>
        <v>39.59210837999999</v>
      </c>
      <c r="T43" s="115">
        <f t="shared" si="18"/>
        <v>39.564349</v>
      </c>
      <c r="U43" s="115">
        <f t="shared" si="18"/>
        <v>44.059011147999996</v>
      </c>
      <c r="V43" s="115">
        <f t="shared" si="18"/>
        <v>48.248835683104005</v>
      </c>
      <c r="W43" s="92">
        <v>752</v>
      </c>
      <c r="X43" s="92">
        <f>SUM(X45:X51)</f>
        <v>768</v>
      </c>
      <c r="Y43" s="92">
        <f>SUM(Y45:Y51)</f>
        <v>766</v>
      </c>
      <c r="Z43" s="92">
        <f>SUM(Z45:Z51)</f>
        <v>656</v>
      </c>
      <c r="AA43" s="92">
        <f>SUM(AA45:AA51)</f>
        <v>656</v>
      </c>
      <c r="AB43" s="92">
        <f>SUM(AB45:AB51)</f>
        <v>656</v>
      </c>
      <c r="AC43" s="94">
        <v>192.43</v>
      </c>
      <c r="AD43" s="94">
        <f>AD45+AD46+AD47+AD48+AD49+AD50+AD51</f>
        <v>223.95</v>
      </c>
      <c r="AE43" s="94">
        <f>AE45+AE46+AE47+AE48+AE49+AE50+AE51</f>
        <v>261.37688</v>
      </c>
      <c r="AF43" s="94">
        <f>AF45+AF46+AF47+AF48+AF49+AF50+AF51</f>
        <v>202.01341088000004</v>
      </c>
      <c r="AG43" s="94">
        <f>AG45+AG46+AG47+AG48+AG49+AG50+AG51</f>
        <v>219.40346219136</v>
      </c>
      <c r="AH43" s="94">
        <f>AH45+AH46+AH47+AH48+AH49+AH50+AH51</f>
        <v>236.46055852777982</v>
      </c>
      <c r="AI43" s="133">
        <f t="shared" si="17"/>
        <v>21324.24645390071</v>
      </c>
      <c r="AJ43" s="133">
        <f t="shared" si="17"/>
        <v>24300.13020833333</v>
      </c>
      <c r="AK43" s="133">
        <f t="shared" si="17"/>
        <v>28435.25674499565</v>
      </c>
      <c r="AL43" s="133">
        <f t="shared" si="17"/>
        <v>25662.27272357724</v>
      </c>
      <c r="AM43" s="133">
        <f t="shared" si="17"/>
        <v>27871.374770243903</v>
      </c>
      <c r="AN43" s="133">
        <f t="shared" si="17"/>
        <v>30038.180707289102</v>
      </c>
      <c r="AO43" s="82"/>
      <c r="AP43" s="82"/>
    </row>
    <row r="44" spans="1:42" ht="15.75" customHeight="1">
      <c r="A44" s="87" t="s">
        <v>85</v>
      </c>
      <c r="B44" s="95"/>
      <c r="C44" s="95"/>
      <c r="D44" s="115"/>
      <c r="E44" s="115"/>
      <c r="F44" s="115"/>
      <c r="G44" s="115"/>
      <c r="H44" s="115"/>
      <c r="I44" s="95"/>
      <c r="J44" s="95"/>
      <c r="K44" s="115"/>
      <c r="L44" s="115"/>
      <c r="M44" s="115"/>
      <c r="N44" s="115"/>
      <c r="O44" s="115"/>
      <c r="P44" s="126"/>
      <c r="Q44" s="126"/>
      <c r="R44" s="119"/>
      <c r="S44" s="119"/>
      <c r="T44" s="119"/>
      <c r="U44" s="119"/>
      <c r="V44" s="119"/>
      <c r="W44" s="85"/>
      <c r="X44" s="85"/>
      <c r="Y44" s="85"/>
      <c r="Z44" s="85"/>
      <c r="AA44" s="85"/>
      <c r="AB44" s="85"/>
      <c r="AC44" s="89"/>
      <c r="AD44" s="89"/>
      <c r="AE44" s="89"/>
      <c r="AF44" s="89"/>
      <c r="AG44" s="89"/>
      <c r="AH44" s="89"/>
      <c r="AI44" s="133"/>
      <c r="AJ44" s="127"/>
      <c r="AK44" s="127"/>
      <c r="AL44" s="127"/>
      <c r="AM44" s="127"/>
      <c r="AN44" s="127"/>
      <c r="AO44" s="82"/>
      <c r="AP44" s="82"/>
    </row>
    <row r="45" spans="1:42" ht="16.5">
      <c r="A45" s="86" t="s">
        <v>148</v>
      </c>
      <c r="B45" s="95">
        <v>247.961</v>
      </c>
      <c r="C45" s="136">
        <v>289.273</v>
      </c>
      <c r="D45" s="124">
        <f aca="true" t="shared" si="19" ref="D45:D52">C45*100%*104.5%</f>
        <v>302.290285</v>
      </c>
      <c r="E45" s="124">
        <f aca="true" t="shared" si="20" ref="E45:E52">D45*100%*105.1%</f>
        <v>317.70708953499997</v>
      </c>
      <c r="F45" s="124">
        <f aca="true" t="shared" si="21" ref="F45:F52">D45*100%*105%</f>
        <v>317.40479925</v>
      </c>
      <c r="G45" s="124">
        <f aca="true" t="shared" si="22" ref="G45:G52">F45*100%*105.2%</f>
        <v>333.909848811</v>
      </c>
      <c r="H45" s="124">
        <f aca="true" t="shared" si="23" ref="H45:H52">G45*100%*104.8%</f>
        <v>349.93752155392804</v>
      </c>
      <c r="I45" s="95">
        <v>247.961</v>
      </c>
      <c r="J45" s="136">
        <v>289.273</v>
      </c>
      <c r="K45" s="124">
        <f aca="true" t="shared" si="24" ref="K45:K52">J45*100%*104.5%</f>
        <v>302.290285</v>
      </c>
      <c r="L45" s="124">
        <f aca="true" t="shared" si="25" ref="L45:L52">K45*100%*105.1%</f>
        <v>317.70708953499997</v>
      </c>
      <c r="M45" s="124">
        <f aca="true" t="shared" si="26" ref="M45:M52">K45*100%*105%</f>
        <v>317.40479925</v>
      </c>
      <c r="N45" s="124">
        <f aca="true" t="shared" si="27" ref="N45:N52">M45*100%*105.2%</f>
        <v>333.909848811</v>
      </c>
      <c r="O45" s="124">
        <f aca="true" t="shared" si="28" ref="O45:O52">N45*100%*104.8%</f>
        <v>349.93752155392804</v>
      </c>
      <c r="P45" s="95">
        <v>3.3</v>
      </c>
      <c r="Q45" s="136">
        <v>9.012</v>
      </c>
      <c r="R45" s="124">
        <f aca="true" t="shared" si="29" ref="R45:R52">Q45*104.5%</f>
        <v>9.41754</v>
      </c>
      <c r="S45" s="124">
        <f aca="true" t="shared" si="30" ref="S45:S52">R45*105.1%</f>
        <v>9.89783454</v>
      </c>
      <c r="T45" s="124">
        <f aca="true" t="shared" si="31" ref="T45:T52">R45*105%</f>
        <v>9.888417</v>
      </c>
      <c r="U45" s="124">
        <f aca="true" t="shared" si="32" ref="U45:U52">T45*105.2%</f>
        <v>10.402614684000001</v>
      </c>
      <c r="V45" s="124">
        <f aca="true" t="shared" si="33" ref="V45:V52">U45*104.8%</f>
        <v>10.901940188832002</v>
      </c>
      <c r="W45" s="85">
        <v>124</v>
      </c>
      <c r="X45" s="85">
        <v>117</v>
      </c>
      <c r="Y45" s="85">
        <v>117</v>
      </c>
      <c r="Z45" s="85">
        <v>117</v>
      </c>
      <c r="AA45" s="85">
        <v>117</v>
      </c>
      <c r="AB45" s="85">
        <v>117</v>
      </c>
      <c r="AC45" s="89">
        <v>20.91</v>
      </c>
      <c r="AD45" s="89">
        <v>24.54</v>
      </c>
      <c r="AE45" s="89">
        <f>AD45*1.04</f>
        <v>25.5216</v>
      </c>
      <c r="AF45" s="89">
        <f>AE45*1.051</f>
        <v>26.823201599999997</v>
      </c>
      <c r="AG45" s="89">
        <f>AF45*1.047</f>
        <v>28.083892075199994</v>
      </c>
      <c r="AH45" s="89">
        <f>AG45*1.044</f>
        <v>29.319583326508795</v>
      </c>
      <c r="AI45" s="215">
        <f aca="true" t="shared" si="34" ref="AI45:AI51">(AC45/W45)/12*1000000</f>
        <v>14052.41935483871</v>
      </c>
      <c r="AJ45" s="215">
        <f aca="true" t="shared" si="35" ref="AJ45:AJ51">(AD45/X45)/12*1000000</f>
        <v>17478.632478632477</v>
      </c>
      <c r="AK45" s="215">
        <f aca="true" t="shared" si="36" ref="AK45:AK51">(AE45/Y45)/12*1000000</f>
        <v>18177.777777777774</v>
      </c>
      <c r="AL45" s="215">
        <f aca="true" t="shared" si="37" ref="AL45:AL51">(AF45/Z45)/12*1000000</f>
        <v>19104.844444444443</v>
      </c>
      <c r="AM45" s="215">
        <f aca="true" t="shared" si="38" ref="AM45:AM51">(AG45/AA45)/12*1000000</f>
        <v>20002.77213333333</v>
      </c>
      <c r="AN45" s="215">
        <f aca="true" t="shared" si="39" ref="AN45:AN51">(AH45/AB45)/12*1000000</f>
        <v>20882.894107199998</v>
      </c>
      <c r="AO45" s="82"/>
      <c r="AP45" s="82"/>
    </row>
    <row r="46" spans="1:42" ht="16.5">
      <c r="A46" s="88" t="s">
        <v>146</v>
      </c>
      <c r="B46" s="95">
        <v>173.753</v>
      </c>
      <c r="C46" s="136">
        <v>197.426</v>
      </c>
      <c r="D46" s="194">
        <v>201.612</v>
      </c>
      <c r="E46" s="194">
        <v>214.159</v>
      </c>
      <c r="F46" s="194">
        <v>214.159</v>
      </c>
      <c r="G46" s="194">
        <v>227.021</v>
      </c>
      <c r="H46" s="194">
        <v>241.161</v>
      </c>
      <c r="I46" s="95">
        <v>195.757</v>
      </c>
      <c r="J46" s="136">
        <v>207.086</v>
      </c>
      <c r="K46" s="194">
        <v>201.612</v>
      </c>
      <c r="L46" s="194">
        <v>214.159</v>
      </c>
      <c r="M46" s="194">
        <v>214.159</v>
      </c>
      <c r="N46" s="194">
        <v>227.021</v>
      </c>
      <c r="O46" s="194">
        <v>241.161</v>
      </c>
      <c r="P46" s="95">
        <v>0.08</v>
      </c>
      <c r="Q46" s="89">
        <v>4.18</v>
      </c>
      <c r="R46" s="124">
        <f t="shared" si="29"/>
        <v>4.368099999999999</v>
      </c>
      <c r="S46" s="124">
        <f t="shared" si="30"/>
        <v>4.590873099999999</v>
      </c>
      <c r="T46" s="124">
        <f t="shared" si="31"/>
        <v>4.586504999999999</v>
      </c>
      <c r="U46" s="124">
        <f t="shared" si="32"/>
        <v>4.825003259999999</v>
      </c>
      <c r="V46" s="124">
        <f t="shared" si="33"/>
        <v>5.056603416479999</v>
      </c>
      <c r="W46" s="85">
        <v>298</v>
      </c>
      <c r="X46" s="85">
        <v>280</v>
      </c>
      <c r="Y46" s="85">
        <v>282</v>
      </c>
      <c r="Z46" s="85">
        <v>282</v>
      </c>
      <c r="AA46" s="85">
        <v>282</v>
      </c>
      <c r="AB46" s="85">
        <v>282</v>
      </c>
      <c r="AC46" s="89">
        <v>95.138</v>
      </c>
      <c r="AD46" s="89">
        <v>105.489</v>
      </c>
      <c r="AE46" s="89">
        <v>105.474</v>
      </c>
      <c r="AF46" s="89">
        <v>111.802</v>
      </c>
      <c r="AG46" s="89">
        <v>118.511</v>
      </c>
      <c r="AH46" s="89">
        <v>125.621</v>
      </c>
      <c r="AI46" s="215">
        <f t="shared" si="34"/>
        <v>26604.586129753916</v>
      </c>
      <c r="AJ46" s="215">
        <f t="shared" si="35"/>
        <v>31395.535714285717</v>
      </c>
      <c r="AK46" s="215">
        <f t="shared" si="36"/>
        <v>31168.439716312056</v>
      </c>
      <c r="AL46" s="215">
        <f t="shared" si="37"/>
        <v>33038.41607565012</v>
      </c>
      <c r="AM46" s="215">
        <f t="shared" si="38"/>
        <v>35020.98108747045</v>
      </c>
      <c r="AN46" s="215">
        <f t="shared" si="39"/>
        <v>37122.044917257685</v>
      </c>
      <c r="AO46" s="82"/>
      <c r="AP46" s="82"/>
    </row>
    <row r="47" spans="1:42" ht="16.5">
      <c r="A47" s="86" t="s">
        <v>322</v>
      </c>
      <c r="B47" s="95">
        <v>143.797</v>
      </c>
      <c r="C47" s="136">
        <v>323.479</v>
      </c>
      <c r="D47" s="124">
        <f t="shared" si="19"/>
        <v>338.035555</v>
      </c>
      <c r="E47" s="124">
        <f t="shared" si="20"/>
        <v>355.275368305</v>
      </c>
      <c r="F47" s="124">
        <f t="shared" si="21"/>
        <v>354.93733275</v>
      </c>
      <c r="G47" s="124">
        <f t="shared" si="22"/>
        <v>373.394074053</v>
      </c>
      <c r="H47" s="124">
        <f t="shared" si="23"/>
        <v>391.31698960754403</v>
      </c>
      <c r="I47" s="95">
        <v>143.797</v>
      </c>
      <c r="J47" s="136">
        <v>323.479</v>
      </c>
      <c r="K47" s="124">
        <f t="shared" si="24"/>
        <v>338.035555</v>
      </c>
      <c r="L47" s="124">
        <f t="shared" si="25"/>
        <v>355.275368305</v>
      </c>
      <c r="M47" s="124">
        <f t="shared" si="26"/>
        <v>354.93733275</v>
      </c>
      <c r="N47" s="124">
        <f t="shared" si="27"/>
        <v>373.394074053</v>
      </c>
      <c r="O47" s="124">
        <f t="shared" si="28"/>
        <v>391.31698960754403</v>
      </c>
      <c r="P47" s="136">
        <v>0.166</v>
      </c>
      <c r="Q47" s="136">
        <v>0.424</v>
      </c>
      <c r="R47" s="124">
        <f t="shared" si="29"/>
        <v>0.44308</v>
      </c>
      <c r="S47" s="124">
        <f t="shared" si="30"/>
        <v>0.46567707999999997</v>
      </c>
      <c r="T47" s="124">
        <f t="shared" si="31"/>
        <v>0.465234</v>
      </c>
      <c r="U47" s="124">
        <f t="shared" si="32"/>
        <v>0.489426168</v>
      </c>
      <c r="V47" s="124">
        <f t="shared" si="33"/>
        <v>0.512918624064</v>
      </c>
      <c r="W47" s="85">
        <v>18</v>
      </c>
      <c r="X47" s="85">
        <v>47</v>
      </c>
      <c r="Y47" s="85">
        <v>47</v>
      </c>
      <c r="Z47" s="85">
        <v>47</v>
      </c>
      <c r="AA47" s="85">
        <v>47</v>
      </c>
      <c r="AB47" s="85">
        <v>47</v>
      </c>
      <c r="AC47" s="89">
        <v>2.377</v>
      </c>
      <c r="AD47" s="89">
        <v>8.08</v>
      </c>
      <c r="AE47" s="89">
        <f>AD47*1.04</f>
        <v>8.4032</v>
      </c>
      <c r="AF47" s="89">
        <f>AE47*1.051</f>
        <v>8.8317632</v>
      </c>
      <c r="AG47" s="89">
        <f>AF47*1.047</f>
        <v>9.246856070399998</v>
      </c>
      <c r="AH47" s="89">
        <f>AG47*1.044</f>
        <v>9.653717737497598</v>
      </c>
      <c r="AI47" s="215">
        <f t="shared" si="34"/>
        <v>11004.629629629628</v>
      </c>
      <c r="AJ47" s="127">
        <f t="shared" si="35"/>
        <v>14326.241134751774</v>
      </c>
      <c r="AK47" s="127">
        <f t="shared" si="36"/>
        <v>14899.290780141844</v>
      </c>
      <c r="AL47" s="127">
        <f t="shared" si="37"/>
        <v>15659.154609929077</v>
      </c>
      <c r="AM47" s="127">
        <f t="shared" si="38"/>
        <v>16395.13487659574</v>
      </c>
      <c r="AN47" s="127">
        <f t="shared" si="39"/>
        <v>17116.520811165952</v>
      </c>
      <c r="AO47" s="82"/>
      <c r="AP47" s="82"/>
    </row>
    <row r="48" spans="1:42" ht="16.5">
      <c r="A48" s="86" t="s">
        <v>147</v>
      </c>
      <c r="B48" s="95">
        <v>56.051</v>
      </c>
      <c r="C48" s="136">
        <v>50.673</v>
      </c>
      <c r="D48" s="124">
        <f t="shared" si="19"/>
        <v>52.953285</v>
      </c>
      <c r="E48" s="124">
        <f t="shared" si="20"/>
        <v>55.653902535</v>
      </c>
      <c r="F48" s="124">
        <f t="shared" si="21"/>
        <v>55.600949250000006</v>
      </c>
      <c r="G48" s="124">
        <f t="shared" si="22"/>
        <v>58.492198611000006</v>
      </c>
      <c r="H48" s="124">
        <f t="shared" si="23"/>
        <v>61.29982414432801</v>
      </c>
      <c r="I48" s="136">
        <v>56.051</v>
      </c>
      <c r="J48" s="136">
        <v>50.673</v>
      </c>
      <c r="K48" s="124">
        <f t="shared" si="24"/>
        <v>52.953285</v>
      </c>
      <c r="L48" s="124">
        <f t="shared" si="25"/>
        <v>55.653902535</v>
      </c>
      <c r="M48" s="124">
        <f t="shared" si="26"/>
        <v>55.600949250000006</v>
      </c>
      <c r="N48" s="124">
        <f t="shared" si="27"/>
        <v>58.492198611000006</v>
      </c>
      <c r="O48" s="124">
        <f t="shared" si="28"/>
        <v>61.29982414432801</v>
      </c>
      <c r="P48" s="95">
        <v>0</v>
      </c>
      <c r="Q48" s="136">
        <v>5.866</v>
      </c>
      <c r="R48" s="124">
        <f t="shared" si="29"/>
        <v>6.129969999999999</v>
      </c>
      <c r="S48" s="124">
        <f t="shared" si="30"/>
        <v>6.442598469999999</v>
      </c>
      <c r="T48" s="124">
        <f t="shared" si="31"/>
        <v>6.436468499999999</v>
      </c>
      <c r="U48" s="124">
        <f t="shared" si="32"/>
        <v>6.771164861999999</v>
      </c>
      <c r="V48" s="124">
        <f t="shared" si="33"/>
        <v>7.096180775375999</v>
      </c>
      <c r="W48" s="85">
        <v>43</v>
      </c>
      <c r="X48" s="85">
        <v>43</v>
      </c>
      <c r="Y48" s="85">
        <v>43</v>
      </c>
      <c r="Z48" s="85">
        <v>43</v>
      </c>
      <c r="AA48" s="85">
        <v>43</v>
      </c>
      <c r="AB48" s="85">
        <v>43</v>
      </c>
      <c r="AC48" s="89">
        <v>7.756</v>
      </c>
      <c r="AD48" s="89">
        <v>11.01</v>
      </c>
      <c r="AE48" s="89">
        <f>AD48*1.04</f>
        <v>11.4504</v>
      </c>
      <c r="AF48" s="89">
        <f>AE48*1.051</f>
        <v>12.0343704</v>
      </c>
      <c r="AG48" s="89">
        <f>AF48*1.047</f>
        <v>12.5999858088</v>
      </c>
      <c r="AH48" s="89">
        <f>AG48*1.044</f>
        <v>13.1543851843872</v>
      </c>
      <c r="AI48" s="215">
        <f t="shared" si="34"/>
        <v>15031.007751937985</v>
      </c>
      <c r="AJ48" s="127">
        <f t="shared" si="35"/>
        <v>21337.20930232558</v>
      </c>
      <c r="AK48" s="127">
        <f t="shared" si="36"/>
        <v>22190.697674418603</v>
      </c>
      <c r="AL48" s="127">
        <f t="shared" si="37"/>
        <v>23322.423255813952</v>
      </c>
      <c r="AM48" s="127">
        <f t="shared" si="38"/>
        <v>24418.57714883721</v>
      </c>
      <c r="AN48" s="127">
        <f t="shared" si="39"/>
        <v>25492.994543386045</v>
      </c>
      <c r="AO48" s="82"/>
      <c r="AP48" s="82"/>
    </row>
    <row r="49" spans="1:42" ht="16.5">
      <c r="A49" s="86" t="s">
        <v>248</v>
      </c>
      <c r="B49" s="95">
        <v>27.9</v>
      </c>
      <c r="C49" s="136">
        <v>64.366</v>
      </c>
      <c r="D49" s="124">
        <f t="shared" si="19"/>
        <v>67.26247</v>
      </c>
      <c r="E49" s="124">
        <f t="shared" si="20"/>
        <v>70.69285596999998</v>
      </c>
      <c r="F49" s="124">
        <f t="shared" si="21"/>
        <v>70.6255935</v>
      </c>
      <c r="G49" s="124">
        <f t="shared" si="22"/>
        <v>74.298124362</v>
      </c>
      <c r="H49" s="124">
        <f t="shared" si="23"/>
        <v>77.864434331376</v>
      </c>
      <c r="I49" s="136">
        <v>27.9</v>
      </c>
      <c r="J49" s="136">
        <v>64.366</v>
      </c>
      <c r="K49" s="124">
        <f t="shared" si="24"/>
        <v>67.26247</v>
      </c>
      <c r="L49" s="124">
        <f t="shared" si="25"/>
        <v>70.69285596999998</v>
      </c>
      <c r="M49" s="124">
        <f t="shared" si="26"/>
        <v>70.6255935</v>
      </c>
      <c r="N49" s="124">
        <f t="shared" si="27"/>
        <v>74.298124362</v>
      </c>
      <c r="O49" s="124">
        <f t="shared" si="28"/>
        <v>77.864434331376</v>
      </c>
      <c r="P49" s="95">
        <v>0</v>
      </c>
      <c r="Q49" s="136">
        <v>0.171</v>
      </c>
      <c r="R49" s="124">
        <f t="shared" si="29"/>
        <v>0.178695</v>
      </c>
      <c r="S49" s="124">
        <f t="shared" si="30"/>
        <v>0.187808445</v>
      </c>
      <c r="T49" s="124">
        <f t="shared" si="31"/>
        <v>0.18762975</v>
      </c>
      <c r="U49" s="124">
        <f t="shared" si="32"/>
        <v>0.19738649700000002</v>
      </c>
      <c r="V49" s="124">
        <f t="shared" si="33"/>
        <v>0.20686104885600004</v>
      </c>
      <c r="W49" s="85">
        <v>53</v>
      </c>
      <c r="X49" s="85">
        <v>51</v>
      </c>
      <c r="Y49" s="85">
        <v>51</v>
      </c>
      <c r="Z49" s="85">
        <v>51</v>
      </c>
      <c r="AA49" s="85">
        <v>51</v>
      </c>
      <c r="AB49" s="85">
        <v>51</v>
      </c>
      <c r="AC49" s="89">
        <v>5.585</v>
      </c>
      <c r="AD49" s="89">
        <v>5.642</v>
      </c>
      <c r="AE49" s="89">
        <f>AD49*1.04</f>
        <v>5.867680000000001</v>
      </c>
      <c r="AF49" s="89">
        <f>AE49*1.051</f>
        <v>6.16693168</v>
      </c>
      <c r="AG49" s="89">
        <f>AF49*1.047</f>
        <v>6.4567774689599995</v>
      </c>
      <c r="AH49" s="89">
        <f>AG49*1.044</f>
        <v>6.740875677594239</v>
      </c>
      <c r="AI49" s="215">
        <f t="shared" si="34"/>
        <v>8781.446540880504</v>
      </c>
      <c r="AJ49" s="127">
        <f t="shared" si="35"/>
        <v>9218.954248366013</v>
      </c>
      <c r="AK49" s="127">
        <f t="shared" si="36"/>
        <v>9587.712418300654</v>
      </c>
      <c r="AL49" s="127">
        <f t="shared" si="37"/>
        <v>10076.685751633988</v>
      </c>
      <c r="AM49" s="127">
        <f t="shared" si="38"/>
        <v>10550.289981960783</v>
      </c>
      <c r="AN49" s="127">
        <f t="shared" si="39"/>
        <v>11014.502741167058</v>
      </c>
      <c r="AO49" s="82"/>
      <c r="AP49" s="82"/>
    </row>
    <row r="50" spans="1:42" ht="16.5">
      <c r="A50" s="86" t="s">
        <v>249</v>
      </c>
      <c r="B50" s="95">
        <v>179.7</v>
      </c>
      <c r="C50" s="136">
        <v>416.663</v>
      </c>
      <c r="D50" s="194">
        <v>561.036</v>
      </c>
      <c r="E50" s="194">
        <v>130.215</v>
      </c>
      <c r="F50" s="194">
        <v>130.215</v>
      </c>
      <c r="G50" s="194">
        <v>167.453</v>
      </c>
      <c r="H50" s="194">
        <v>201.429</v>
      </c>
      <c r="I50" s="136">
        <v>179.7</v>
      </c>
      <c r="J50" s="136">
        <v>416.663</v>
      </c>
      <c r="K50" s="194">
        <v>561.036</v>
      </c>
      <c r="L50" s="194">
        <v>130.215</v>
      </c>
      <c r="M50" s="194">
        <v>130.215</v>
      </c>
      <c r="N50" s="194">
        <v>167.453</v>
      </c>
      <c r="O50" s="194">
        <v>201.429</v>
      </c>
      <c r="P50" s="95">
        <v>22.9</v>
      </c>
      <c r="Q50" s="136">
        <v>110.234</v>
      </c>
      <c r="R50" s="194">
        <v>97.256</v>
      </c>
      <c r="S50" s="194">
        <v>10.417</v>
      </c>
      <c r="T50" s="194">
        <v>10.417</v>
      </c>
      <c r="U50" s="194">
        <v>13.396</v>
      </c>
      <c r="V50" s="194">
        <v>16.114</v>
      </c>
      <c r="W50" s="85">
        <v>73</v>
      </c>
      <c r="X50" s="85">
        <v>189</v>
      </c>
      <c r="Y50" s="85">
        <v>185</v>
      </c>
      <c r="Z50" s="85">
        <v>75</v>
      </c>
      <c r="AA50" s="85">
        <v>75</v>
      </c>
      <c r="AB50" s="85">
        <v>75</v>
      </c>
      <c r="AC50" s="89">
        <v>20.531</v>
      </c>
      <c r="AD50" s="89">
        <v>60.589</v>
      </c>
      <c r="AE50" s="89">
        <v>95.716</v>
      </c>
      <c r="AF50" s="89">
        <v>26.955</v>
      </c>
      <c r="AG50" s="89">
        <v>34.663</v>
      </c>
      <c r="AH50" s="89">
        <v>41.696</v>
      </c>
      <c r="AI50" s="215">
        <f t="shared" si="34"/>
        <v>23437.214611872143</v>
      </c>
      <c r="AJ50" s="127">
        <f t="shared" si="35"/>
        <v>26714.726631393296</v>
      </c>
      <c r="AK50" s="127">
        <f t="shared" si="36"/>
        <v>43115.31531531532</v>
      </c>
      <c r="AL50" s="127">
        <f t="shared" si="37"/>
        <v>29950</v>
      </c>
      <c r="AM50" s="127">
        <f t="shared" si="38"/>
        <v>38514.44444444444</v>
      </c>
      <c r="AN50" s="127">
        <f t="shared" si="39"/>
        <v>46328.88888888888</v>
      </c>
      <c r="AO50" s="82"/>
      <c r="AP50" s="82"/>
    </row>
    <row r="51" spans="1:42" ht="16.5">
      <c r="A51" s="86" t="s">
        <v>136</v>
      </c>
      <c r="B51" s="136">
        <v>133.074</v>
      </c>
      <c r="C51" s="136">
        <v>150.826</v>
      </c>
      <c r="D51" s="124">
        <f t="shared" si="19"/>
        <v>157.61316999999997</v>
      </c>
      <c r="E51" s="124">
        <f t="shared" si="20"/>
        <v>165.65144166999997</v>
      </c>
      <c r="F51" s="124">
        <f t="shared" si="21"/>
        <v>165.49382849999998</v>
      </c>
      <c r="G51" s="124">
        <f t="shared" si="22"/>
        <v>174.09950758199997</v>
      </c>
      <c r="H51" s="124">
        <f t="shared" si="23"/>
        <v>182.45628394593598</v>
      </c>
      <c r="I51" s="136">
        <v>132.874</v>
      </c>
      <c r="J51" s="136">
        <v>150.826</v>
      </c>
      <c r="K51" s="124">
        <f t="shared" si="24"/>
        <v>157.61316999999997</v>
      </c>
      <c r="L51" s="124">
        <f t="shared" si="25"/>
        <v>165.65144166999997</v>
      </c>
      <c r="M51" s="124">
        <f t="shared" si="26"/>
        <v>165.49382849999998</v>
      </c>
      <c r="N51" s="124">
        <f t="shared" si="27"/>
        <v>174.09950758199997</v>
      </c>
      <c r="O51" s="124">
        <f t="shared" si="28"/>
        <v>182.45628394593598</v>
      </c>
      <c r="P51" s="95">
        <v>1</v>
      </c>
      <c r="Q51" s="136">
        <v>6.911</v>
      </c>
      <c r="R51" s="124">
        <f t="shared" si="29"/>
        <v>7.221994999999999</v>
      </c>
      <c r="S51" s="124">
        <f t="shared" si="30"/>
        <v>7.590316744999998</v>
      </c>
      <c r="T51" s="124">
        <f t="shared" si="31"/>
        <v>7.583094749999999</v>
      </c>
      <c r="U51" s="124">
        <f t="shared" si="32"/>
        <v>7.977415676999999</v>
      </c>
      <c r="V51" s="124">
        <f t="shared" si="33"/>
        <v>8.360331629495999</v>
      </c>
      <c r="W51" s="85">
        <v>269</v>
      </c>
      <c r="X51" s="85">
        <v>41</v>
      </c>
      <c r="Y51" s="85">
        <v>41</v>
      </c>
      <c r="Z51" s="85">
        <v>41</v>
      </c>
      <c r="AA51" s="85">
        <v>41</v>
      </c>
      <c r="AB51" s="85">
        <v>41</v>
      </c>
      <c r="AC51" s="89">
        <f>63.24+3.01</f>
        <v>66.25</v>
      </c>
      <c r="AD51" s="89">
        <v>8.6</v>
      </c>
      <c r="AE51" s="89">
        <f>AD51*1.04</f>
        <v>8.943999999999999</v>
      </c>
      <c r="AF51" s="89">
        <f>AE51*1.051</f>
        <v>9.400144</v>
      </c>
      <c r="AG51" s="89">
        <f>AF51*1.047</f>
        <v>9.841950767999998</v>
      </c>
      <c r="AH51" s="89">
        <f>AG51*1.044</f>
        <v>10.274996601792</v>
      </c>
      <c r="AI51" s="215">
        <f t="shared" si="34"/>
        <v>20523.54399008674</v>
      </c>
      <c r="AJ51" s="127">
        <f t="shared" si="35"/>
        <v>17479.674796747968</v>
      </c>
      <c r="AK51" s="127">
        <f t="shared" si="36"/>
        <v>18178.861788617884</v>
      </c>
      <c r="AL51" s="127">
        <f t="shared" si="37"/>
        <v>19105.983739837397</v>
      </c>
      <c r="AM51" s="127">
        <f t="shared" si="38"/>
        <v>20003.964975609757</v>
      </c>
      <c r="AN51" s="127">
        <f t="shared" si="39"/>
        <v>20884.139434536584</v>
      </c>
      <c r="AO51" s="82"/>
      <c r="AP51" s="82"/>
    </row>
    <row r="52" spans="1:42" ht="16.5">
      <c r="A52" s="86" t="s">
        <v>325</v>
      </c>
      <c r="B52" s="194"/>
      <c r="C52" s="194">
        <v>56</v>
      </c>
      <c r="D52" s="124">
        <f t="shared" si="19"/>
        <v>58.519999999999996</v>
      </c>
      <c r="E52" s="124">
        <f t="shared" si="20"/>
        <v>61.50451999999999</v>
      </c>
      <c r="F52" s="124">
        <f t="shared" si="21"/>
        <v>61.446</v>
      </c>
      <c r="G52" s="124">
        <f t="shared" si="22"/>
        <v>64.641192</v>
      </c>
      <c r="H52" s="124">
        <f t="shared" si="23"/>
        <v>67.74396921600001</v>
      </c>
      <c r="I52" s="194"/>
      <c r="J52" s="194">
        <v>56</v>
      </c>
      <c r="K52" s="124">
        <f t="shared" si="24"/>
        <v>58.519999999999996</v>
      </c>
      <c r="L52" s="124">
        <f t="shared" si="25"/>
        <v>61.50451999999999</v>
      </c>
      <c r="M52" s="124">
        <f t="shared" si="26"/>
        <v>61.446</v>
      </c>
      <c r="N52" s="124">
        <f t="shared" si="27"/>
        <v>64.641192</v>
      </c>
      <c r="O52" s="124">
        <f t="shared" si="28"/>
        <v>67.74396921600001</v>
      </c>
      <c r="P52" s="124"/>
      <c r="Q52" s="194">
        <v>0</v>
      </c>
      <c r="R52" s="124">
        <f t="shared" si="29"/>
        <v>0</v>
      </c>
      <c r="S52" s="124">
        <f t="shared" si="30"/>
        <v>0</v>
      </c>
      <c r="T52" s="124">
        <f t="shared" si="31"/>
        <v>0</v>
      </c>
      <c r="U52" s="124">
        <f t="shared" si="32"/>
        <v>0</v>
      </c>
      <c r="V52" s="124">
        <f t="shared" si="33"/>
        <v>0</v>
      </c>
      <c r="W52" s="85"/>
      <c r="X52" s="85"/>
      <c r="Y52" s="85"/>
      <c r="Z52" s="85"/>
      <c r="AA52" s="85"/>
      <c r="AB52" s="85"/>
      <c r="AC52" s="89"/>
      <c r="AD52" s="89"/>
      <c r="AE52" s="89"/>
      <c r="AF52" s="89"/>
      <c r="AG52" s="89"/>
      <c r="AH52" s="89"/>
      <c r="AI52" s="215"/>
      <c r="AJ52" s="127"/>
      <c r="AK52" s="127"/>
      <c r="AL52" s="127"/>
      <c r="AM52" s="127"/>
      <c r="AN52" s="127"/>
      <c r="AO52" s="82"/>
      <c r="AP52" s="82"/>
    </row>
    <row r="53" spans="1:42" ht="15.75" customHeight="1">
      <c r="A53" s="91" t="s">
        <v>7</v>
      </c>
      <c r="B53" s="115">
        <f aca="true" t="shared" si="40" ref="B53:V53">B55+B56+B60+B57</f>
        <v>55</v>
      </c>
      <c r="C53" s="115">
        <f t="shared" si="40"/>
        <v>56.099999999999994</v>
      </c>
      <c r="D53" s="115">
        <f t="shared" si="40"/>
        <v>60.3075</v>
      </c>
      <c r="E53" s="115">
        <f t="shared" si="40"/>
        <v>63.86564250000001</v>
      </c>
      <c r="F53" s="115">
        <f t="shared" si="40"/>
        <v>63.805335</v>
      </c>
      <c r="G53" s="115">
        <f t="shared" si="40"/>
        <v>67.56984976500001</v>
      </c>
      <c r="H53" s="115">
        <f t="shared" si="40"/>
        <v>71.421331201605</v>
      </c>
      <c r="I53" s="115">
        <f t="shared" si="40"/>
        <v>55</v>
      </c>
      <c r="J53" s="115">
        <f t="shared" si="40"/>
        <v>56.099999999999994</v>
      </c>
      <c r="K53" s="115">
        <f t="shared" si="40"/>
        <v>60.3075</v>
      </c>
      <c r="L53" s="115">
        <f t="shared" si="40"/>
        <v>63.86564250000001</v>
      </c>
      <c r="M53" s="115">
        <f t="shared" si="40"/>
        <v>63.805335</v>
      </c>
      <c r="N53" s="118">
        <f t="shared" si="40"/>
        <v>67.56984976500001</v>
      </c>
      <c r="O53" s="115">
        <f t="shared" si="40"/>
        <v>71.421331201605</v>
      </c>
      <c r="P53" s="115">
        <f t="shared" si="40"/>
        <v>0.654</v>
      </c>
      <c r="Q53" s="115">
        <f t="shared" si="40"/>
        <v>0</v>
      </c>
      <c r="R53" s="115">
        <f t="shared" si="40"/>
        <v>0</v>
      </c>
      <c r="S53" s="115">
        <f t="shared" si="40"/>
        <v>0</v>
      </c>
      <c r="T53" s="115">
        <f t="shared" si="40"/>
        <v>0</v>
      </c>
      <c r="U53" s="115">
        <f t="shared" si="40"/>
        <v>0</v>
      </c>
      <c r="V53" s="115">
        <f t="shared" si="40"/>
        <v>0</v>
      </c>
      <c r="W53" s="92">
        <f aca="true" t="shared" si="41" ref="W53:AC53">W55+W56+W58+W59+W60+W57</f>
        <v>286</v>
      </c>
      <c r="X53" s="92">
        <f t="shared" si="41"/>
        <v>281</v>
      </c>
      <c r="Y53" s="92">
        <f t="shared" si="41"/>
        <v>279</v>
      </c>
      <c r="Z53" s="92">
        <f t="shared" si="41"/>
        <v>276</v>
      </c>
      <c r="AA53" s="92">
        <f t="shared" si="41"/>
        <v>276</v>
      </c>
      <c r="AB53" s="92">
        <f t="shared" si="41"/>
        <v>276</v>
      </c>
      <c r="AC53" s="94">
        <f t="shared" si="41"/>
        <v>52.80300000000001</v>
      </c>
      <c r="AD53" s="94">
        <f>SUM(AD55:AD60)</f>
        <v>51.95399999999999</v>
      </c>
      <c r="AE53" s="94">
        <f>SUM(AE55:AE60)</f>
        <v>59.495968</v>
      </c>
      <c r="AF53" s="94">
        <f>SUM(AF55:AF60)</f>
        <v>61.32085136799999</v>
      </c>
      <c r="AG53" s="94">
        <f>SUM(AG55:AG60)</f>
        <v>64.36279538229599</v>
      </c>
      <c r="AH53" s="94">
        <f>SUM(AH55:AH60)</f>
        <v>64.07530388880342</v>
      </c>
      <c r="AI53" s="134">
        <f aca="true" t="shared" si="42" ref="AI53:AN53">(AC53/W53)/12*1000000</f>
        <v>15385.489510489513</v>
      </c>
      <c r="AJ53" s="134">
        <f t="shared" si="42"/>
        <v>15407.473309608538</v>
      </c>
      <c r="AK53" s="134">
        <f t="shared" si="42"/>
        <v>17770.599761051373</v>
      </c>
      <c r="AL53" s="134">
        <f t="shared" si="42"/>
        <v>18514.749809178742</v>
      </c>
      <c r="AM53" s="134">
        <f t="shared" si="42"/>
        <v>19433.21116615217</v>
      </c>
      <c r="AN53" s="134">
        <f t="shared" si="42"/>
        <v>19346.40817898654</v>
      </c>
      <c r="AO53" s="82"/>
      <c r="AP53" s="82"/>
    </row>
    <row r="54" spans="1:42" ht="15.75" customHeight="1">
      <c r="A54" s="87" t="s">
        <v>85</v>
      </c>
      <c r="B54" s="95"/>
      <c r="C54" s="95"/>
      <c r="D54" s="115"/>
      <c r="E54" s="115"/>
      <c r="F54" s="115"/>
      <c r="G54" s="115"/>
      <c r="H54" s="115"/>
      <c r="I54" s="95"/>
      <c r="J54" s="95"/>
      <c r="K54" s="85"/>
      <c r="L54" s="85"/>
      <c r="M54" s="85"/>
      <c r="N54" s="85"/>
      <c r="O54" s="85"/>
      <c r="P54" s="126"/>
      <c r="Q54" s="126"/>
      <c r="R54" s="119"/>
      <c r="S54" s="119"/>
      <c r="T54" s="119"/>
      <c r="U54" s="119"/>
      <c r="V54" s="119"/>
      <c r="W54" s="85"/>
      <c r="X54" s="85"/>
      <c r="Y54" s="85"/>
      <c r="Z54" s="85"/>
      <c r="AA54" s="85"/>
      <c r="AB54" s="85"/>
      <c r="AC54" s="89"/>
      <c r="AD54" s="89"/>
      <c r="AE54" s="89"/>
      <c r="AF54" s="89"/>
      <c r="AG54" s="89"/>
      <c r="AH54" s="89"/>
      <c r="AI54" s="134"/>
      <c r="AJ54" s="127"/>
      <c r="AK54" s="127"/>
      <c r="AL54" s="127"/>
      <c r="AM54" s="127"/>
      <c r="AN54" s="127"/>
      <c r="AO54" s="82"/>
      <c r="AP54" s="82"/>
    </row>
    <row r="55" spans="1:42" ht="16.5">
      <c r="A55" s="86" t="s">
        <v>149</v>
      </c>
      <c r="B55" s="95">
        <v>5.1</v>
      </c>
      <c r="C55" s="95">
        <v>5.5</v>
      </c>
      <c r="D55" s="124">
        <f>C55*100%*107.5%</f>
        <v>5.9125</v>
      </c>
      <c r="E55" s="124">
        <f>D55*100%*105.9%</f>
        <v>6.261337500000001</v>
      </c>
      <c r="F55" s="124">
        <f>D55*100%*105.8%</f>
        <v>6.255425</v>
      </c>
      <c r="G55" s="124">
        <f>F55*100%*105.9%</f>
        <v>6.6244950750000005</v>
      </c>
      <c r="H55" s="124">
        <f>G55*100%*105.7%</f>
        <v>7.002091294275</v>
      </c>
      <c r="I55" s="95">
        <v>5.1</v>
      </c>
      <c r="J55" s="95">
        <v>5.5</v>
      </c>
      <c r="K55" s="124">
        <f>J55*100%*107.5%</f>
        <v>5.9125</v>
      </c>
      <c r="L55" s="124">
        <f>K55*100%*105.9%</f>
        <v>6.261337500000001</v>
      </c>
      <c r="M55" s="124">
        <f>K55*100%*105.8%</f>
        <v>6.255425</v>
      </c>
      <c r="N55" s="124">
        <f>M55*100%*105.9%</f>
        <v>6.6244950750000005</v>
      </c>
      <c r="O55" s="124">
        <f>N55*100%*105.7%</f>
        <v>7.002091294275</v>
      </c>
      <c r="P55" s="95">
        <v>0</v>
      </c>
      <c r="Q55" s="95">
        <v>0</v>
      </c>
      <c r="R55" s="95">
        <v>0</v>
      </c>
      <c r="S55" s="95">
        <v>0</v>
      </c>
      <c r="T55" s="95">
        <v>0</v>
      </c>
      <c r="U55" s="95">
        <v>0</v>
      </c>
      <c r="V55" s="95">
        <v>0</v>
      </c>
      <c r="W55" s="85">
        <v>11</v>
      </c>
      <c r="X55" s="85">
        <v>10</v>
      </c>
      <c r="Y55" s="85">
        <v>10</v>
      </c>
      <c r="Z55" s="85">
        <v>10</v>
      </c>
      <c r="AA55" s="85">
        <v>10</v>
      </c>
      <c r="AB55" s="85">
        <v>10</v>
      </c>
      <c r="AC55" s="89">
        <v>0.771</v>
      </c>
      <c r="AD55" s="89">
        <v>0.718</v>
      </c>
      <c r="AE55" s="89">
        <f>AD55*1.224</f>
        <v>0.878832</v>
      </c>
      <c r="AF55" s="89">
        <f>AE55*1.051</f>
        <v>0.9236524319999999</v>
      </c>
      <c r="AG55" s="89">
        <f>AF55*1.047</f>
        <v>0.9670640963039998</v>
      </c>
      <c r="AH55" s="89">
        <f>AG55*1.044</f>
        <v>1.009614916541376</v>
      </c>
      <c r="AI55" s="127">
        <f aca="true" t="shared" si="43" ref="AI55:AI61">(AC55/W55)/12*1000000</f>
        <v>5840.909090909091</v>
      </c>
      <c r="AJ55" s="127">
        <f aca="true" t="shared" si="44" ref="AJ55:AJ61">(AD55/X55)/12*1000000</f>
        <v>5983.333333333334</v>
      </c>
      <c r="AK55" s="127">
        <f aca="true" t="shared" si="45" ref="AK55:AK61">(AE55/Y55)/12*1000000</f>
        <v>7323.599999999999</v>
      </c>
      <c r="AL55" s="127">
        <f aca="true" t="shared" si="46" ref="AL55:AL61">(AF55/Z55)/12*1000000</f>
        <v>7697.103599999999</v>
      </c>
      <c r="AM55" s="127">
        <f aca="true" t="shared" si="47" ref="AM55:AM61">(AG55/AA55)/12*1000000</f>
        <v>8058.867469199998</v>
      </c>
      <c r="AN55" s="127">
        <f aca="true" t="shared" si="48" ref="AN55:AN61">(AH55/AB55)/12*1000000</f>
        <v>8413.457637844798</v>
      </c>
      <c r="AO55" s="82"/>
      <c r="AP55" s="82"/>
    </row>
    <row r="56" spans="1:42" ht="16.5">
      <c r="A56" s="88" t="s">
        <v>150</v>
      </c>
      <c r="B56" s="95">
        <v>26.364</v>
      </c>
      <c r="C56" s="136">
        <v>28.139</v>
      </c>
      <c r="D56" s="124">
        <f>C56*100%*107.5%</f>
        <v>30.249425</v>
      </c>
      <c r="E56" s="124">
        <f>D56*100%*105.9%</f>
        <v>32.034141075</v>
      </c>
      <c r="F56" s="124">
        <f>D56*100%*105.8%</f>
        <v>32.00389165</v>
      </c>
      <c r="G56" s="124">
        <f>F56*100%*105.9%</f>
        <v>33.892121257350006</v>
      </c>
      <c r="H56" s="124">
        <f>G56*100%*105.7%</f>
        <v>35.82397216901895</v>
      </c>
      <c r="I56" s="95">
        <v>26.364</v>
      </c>
      <c r="J56" s="136">
        <v>28.139</v>
      </c>
      <c r="K56" s="124">
        <f>J56*100%*107.5%</f>
        <v>30.249425</v>
      </c>
      <c r="L56" s="124">
        <f>K56*100%*105.9%</f>
        <v>32.034141075</v>
      </c>
      <c r="M56" s="124">
        <f>K56*100%*105.8%</f>
        <v>32.00389165</v>
      </c>
      <c r="N56" s="124">
        <f>M56*100%*105.9%</f>
        <v>33.892121257350006</v>
      </c>
      <c r="O56" s="124">
        <f>N56*100%*105.7%</f>
        <v>35.82397216901895</v>
      </c>
      <c r="P56" s="95">
        <v>0.654</v>
      </c>
      <c r="Q56" s="95">
        <v>0</v>
      </c>
      <c r="R56" s="95">
        <v>0</v>
      </c>
      <c r="S56" s="95">
        <v>0</v>
      </c>
      <c r="T56" s="95">
        <v>0</v>
      </c>
      <c r="U56" s="95">
        <v>0</v>
      </c>
      <c r="V56" s="95">
        <v>0</v>
      </c>
      <c r="W56" s="85">
        <v>21</v>
      </c>
      <c r="X56" s="85">
        <v>20</v>
      </c>
      <c r="Y56" s="85">
        <v>20</v>
      </c>
      <c r="Z56" s="85">
        <v>20</v>
      </c>
      <c r="AA56" s="85">
        <v>20</v>
      </c>
      <c r="AB56" s="85">
        <v>20</v>
      </c>
      <c r="AC56" s="89">
        <v>2.657</v>
      </c>
      <c r="AD56" s="89">
        <v>3.442</v>
      </c>
      <c r="AE56" s="89">
        <f>AD56*1.224</f>
        <v>4.213008</v>
      </c>
      <c r="AF56" s="89">
        <f>AE56*1.051</f>
        <v>4.427871408</v>
      </c>
      <c r="AG56" s="89">
        <f>AF56*1.047</f>
        <v>4.635981364176</v>
      </c>
      <c r="AH56" s="89">
        <f>AG56*1.044</f>
        <v>4.839964544199744</v>
      </c>
      <c r="AI56" s="127">
        <f t="shared" si="43"/>
        <v>10543.650793650795</v>
      </c>
      <c r="AJ56" s="127">
        <f t="shared" si="44"/>
        <v>14341.666666666668</v>
      </c>
      <c r="AK56" s="127">
        <f t="shared" si="45"/>
        <v>17554.2</v>
      </c>
      <c r="AL56" s="127">
        <f t="shared" si="46"/>
        <v>18449.4642</v>
      </c>
      <c r="AM56" s="127">
        <f t="shared" si="47"/>
        <v>19316.589017399998</v>
      </c>
      <c r="AN56" s="127">
        <f t="shared" si="48"/>
        <v>20166.5189341656</v>
      </c>
      <c r="AO56" s="82"/>
      <c r="AP56" s="82"/>
    </row>
    <row r="57" spans="1:42" ht="16.5">
      <c r="A57" s="86" t="s">
        <v>170</v>
      </c>
      <c r="B57" s="210">
        <v>19.357</v>
      </c>
      <c r="C57" s="211">
        <v>18.082</v>
      </c>
      <c r="D57" s="124">
        <f>C57*100%*107.5%</f>
        <v>19.43815</v>
      </c>
      <c r="E57" s="124">
        <f>D57*100%*105.9%</f>
        <v>20.585000850000004</v>
      </c>
      <c r="F57" s="124">
        <f>D57*100%*105.8%</f>
        <v>20.5655627</v>
      </c>
      <c r="G57" s="124">
        <f>F57*100%*105.9%</f>
        <v>21.778930899300004</v>
      </c>
      <c r="H57" s="124">
        <f>G57*100%*105.7%</f>
        <v>23.020329960560105</v>
      </c>
      <c r="I57" s="210">
        <v>19.357</v>
      </c>
      <c r="J57" s="211">
        <v>18.082</v>
      </c>
      <c r="K57" s="124">
        <f>J57*100%*107.5%</f>
        <v>19.43815</v>
      </c>
      <c r="L57" s="124">
        <f>K57*100%*105.9%</f>
        <v>20.585000850000004</v>
      </c>
      <c r="M57" s="124">
        <f>K57*100%*105.8%</f>
        <v>20.5655627</v>
      </c>
      <c r="N57" s="124">
        <f>M57*100%*105.9%</f>
        <v>21.778930899300004</v>
      </c>
      <c r="O57" s="124">
        <f>N57*100%*105.7%</f>
        <v>23.020329960560105</v>
      </c>
      <c r="P57" s="95">
        <v>0</v>
      </c>
      <c r="Q57" s="95">
        <v>0</v>
      </c>
      <c r="R57" s="95">
        <v>0</v>
      </c>
      <c r="S57" s="95">
        <v>0</v>
      </c>
      <c r="T57" s="95">
        <v>0</v>
      </c>
      <c r="U57" s="95">
        <v>0</v>
      </c>
      <c r="V57" s="95">
        <v>0</v>
      </c>
      <c r="W57" s="85">
        <v>64</v>
      </c>
      <c r="X57" s="85">
        <v>57</v>
      </c>
      <c r="Y57" s="85">
        <v>57</v>
      </c>
      <c r="Z57" s="85">
        <v>57</v>
      </c>
      <c r="AA57" s="85">
        <v>57</v>
      </c>
      <c r="AB57" s="85">
        <v>57</v>
      </c>
      <c r="AC57" s="89">
        <v>9.099</v>
      </c>
      <c r="AD57" s="89">
        <v>8.407</v>
      </c>
      <c r="AE57" s="89">
        <f>AD57*1.224</f>
        <v>10.290168</v>
      </c>
      <c r="AF57" s="89">
        <f>AE57*1.051</f>
        <v>10.814966568</v>
      </c>
      <c r="AG57" s="89">
        <f>AF57*1.047</f>
        <v>11.323269996695998</v>
      </c>
      <c r="AH57" s="89">
        <f>AG57*1.044</f>
        <v>11.821493876550623</v>
      </c>
      <c r="AI57" s="127">
        <f t="shared" si="43"/>
        <v>11847.65625</v>
      </c>
      <c r="AJ57" s="127">
        <f t="shared" si="44"/>
        <v>12290.93567251462</v>
      </c>
      <c r="AK57" s="127">
        <f t="shared" si="45"/>
        <v>15044.105263157893</v>
      </c>
      <c r="AL57" s="127">
        <f t="shared" si="46"/>
        <v>15811.354631578944</v>
      </c>
      <c r="AM57" s="127">
        <f t="shared" si="47"/>
        <v>16554.488299263154</v>
      </c>
      <c r="AN57" s="127">
        <f t="shared" si="48"/>
        <v>17282.88578443074</v>
      </c>
      <c r="AO57" s="82"/>
      <c r="AP57" s="82"/>
    </row>
    <row r="58" spans="1:42" ht="33">
      <c r="A58" s="86" t="s">
        <v>151</v>
      </c>
      <c r="B58" s="377" t="s">
        <v>168</v>
      </c>
      <c r="C58" s="378"/>
      <c r="D58" s="378"/>
      <c r="E58" s="378"/>
      <c r="F58" s="378"/>
      <c r="G58" s="378"/>
      <c r="H58" s="379"/>
      <c r="I58" s="126"/>
      <c r="J58" s="126"/>
      <c r="K58" s="119"/>
      <c r="L58" s="119"/>
      <c r="M58" s="119"/>
      <c r="N58" s="119"/>
      <c r="O58" s="119"/>
      <c r="P58" s="126"/>
      <c r="Q58" s="126"/>
      <c r="R58" s="119"/>
      <c r="S58" s="119"/>
      <c r="T58" s="119"/>
      <c r="U58" s="119"/>
      <c r="V58" s="119"/>
      <c r="W58" s="85">
        <v>116</v>
      </c>
      <c r="X58" s="85">
        <v>122</v>
      </c>
      <c r="Y58" s="85">
        <v>122</v>
      </c>
      <c r="Z58" s="85">
        <v>122</v>
      </c>
      <c r="AA58" s="85">
        <v>122</v>
      </c>
      <c r="AB58" s="85">
        <v>122</v>
      </c>
      <c r="AC58" s="89">
        <v>18.722</v>
      </c>
      <c r="AD58" s="89">
        <v>18.74</v>
      </c>
      <c r="AE58" s="89">
        <f>AD58*1.224</f>
        <v>22.937759999999997</v>
      </c>
      <c r="AF58" s="89">
        <f>AE58*1.051</f>
        <v>24.107585759999996</v>
      </c>
      <c r="AG58" s="89">
        <f>AF58*1.047</f>
        <v>25.240642290719993</v>
      </c>
      <c r="AH58" s="89">
        <f>AG58*1.044</f>
        <v>26.351230551511673</v>
      </c>
      <c r="AI58" s="127">
        <f t="shared" si="43"/>
        <v>13449.712643678162</v>
      </c>
      <c r="AJ58" s="127">
        <f t="shared" si="44"/>
        <v>12800.54644808743</v>
      </c>
      <c r="AK58" s="127">
        <f t="shared" si="45"/>
        <v>15667.868852459014</v>
      </c>
      <c r="AL58" s="127">
        <f t="shared" si="46"/>
        <v>16466.930163934423</v>
      </c>
      <c r="AM58" s="127">
        <f t="shared" si="47"/>
        <v>17240.875881639342</v>
      </c>
      <c r="AN58" s="127">
        <f t="shared" si="48"/>
        <v>17999.474420431474</v>
      </c>
      <c r="AO58" s="82"/>
      <c r="AP58" s="82"/>
    </row>
    <row r="59" spans="1:42" ht="66">
      <c r="A59" s="86" t="s">
        <v>250</v>
      </c>
      <c r="B59" s="377" t="s">
        <v>168</v>
      </c>
      <c r="C59" s="378"/>
      <c r="D59" s="378"/>
      <c r="E59" s="378"/>
      <c r="F59" s="378"/>
      <c r="G59" s="378"/>
      <c r="H59" s="379"/>
      <c r="I59" s="126"/>
      <c r="J59" s="126"/>
      <c r="K59" s="119"/>
      <c r="L59" s="119"/>
      <c r="M59" s="119"/>
      <c r="N59" s="119"/>
      <c r="O59" s="119"/>
      <c r="P59" s="126"/>
      <c r="Q59" s="126"/>
      <c r="R59" s="119"/>
      <c r="S59" s="119"/>
      <c r="T59" s="119"/>
      <c r="U59" s="119"/>
      <c r="V59" s="119"/>
      <c r="W59" s="85">
        <v>55</v>
      </c>
      <c r="X59" s="85">
        <v>55</v>
      </c>
      <c r="Y59" s="85">
        <v>53</v>
      </c>
      <c r="Z59" s="85">
        <v>50</v>
      </c>
      <c r="AA59" s="85">
        <v>50</v>
      </c>
      <c r="AB59" s="85">
        <v>50</v>
      </c>
      <c r="AC59" s="89">
        <v>19.455</v>
      </c>
      <c r="AD59" s="89">
        <v>18.347</v>
      </c>
      <c r="AE59" s="89">
        <v>18.361</v>
      </c>
      <c r="AF59" s="89">
        <v>18.088</v>
      </c>
      <c r="AG59" s="89">
        <v>19.098</v>
      </c>
      <c r="AH59" s="89">
        <v>20.053</v>
      </c>
      <c r="AI59" s="127">
        <f t="shared" si="43"/>
        <v>29477.272727272728</v>
      </c>
      <c r="AJ59" s="127">
        <f t="shared" si="44"/>
        <v>27798.48484848485</v>
      </c>
      <c r="AK59" s="127">
        <f t="shared" si="45"/>
        <v>28869.496855345915</v>
      </c>
      <c r="AL59" s="127">
        <f t="shared" si="46"/>
        <v>30146.666666666668</v>
      </c>
      <c r="AM59" s="127">
        <f t="shared" si="47"/>
        <v>31829.999999999996</v>
      </c>
      <c r="AN59" s="127">
        <f t="shared" si="48"/>
        <v>33421.66666666667</v>
      </c>
      <c r="AO59" s="82"/>
      <c r="AP59" s="82"/>
    </row>
    <row r="60" spans="1:42" ht="16.5">
      <c r="A60" s="86" t="s">
        <v>136</v>
      </c>
      <c r="B60" s="210">
        <v>4.179</v>
      </c>
      <c r="C60" s="211">
        <v>4.379</v>
      </c>
      <c r="D60" s="124">
        <f>C60*100%*107.5%</f>
        <v>4.707425</v>
      </c>
      <c r="E60" s="124">
        <f>D60*100%*105.9%</f>
        <v>4.985163075000001</v>
      </c>
      <c r="F60" s="124">
        <f>D60*100%*105.8%</f>
        <v>4.98045565</v>
      </c>
      <c r="G60" s="124">
        <f>F60*100%*105.9%</f>
        <v>5.27430253335</v>
      </c>
      <c r="H60" s="124">
        <f>G60*100%*105.7%</f>
        <v>5.57493777775095</v>
      </c>
      <c r="I60" s="210">
        <v>4.179</v>
      </c>
      <c r="J60" s="211">
        <v>4.379</v>
      </c>
      <c r="K60" s="124">
        <f>J60*100%*107.5%</f>
        <v>4.707425</v>
      </c>
      <c r="L60" s="124">
        <f>K60*100%*105.9%</f>
        <v>4.985163075000001</v>
      </c>
      <c r="M60" s="124">
        <f>K60*100%*105.8%</f>
        <v>4.98045565</v>
      </c>
      <c r="N60" s="124">
        <f>M60*100%*105.9%</f>
        <v>5.27430253335</v>
      </c>
      <c r="O60" s="124">
        <f>N60*100%*105.7%</f>
        <v>5.57493777775095</v>
      </c>
      <c r="P60" s="95">
        <v>0</v>
      </c>
      <c r="Q60" s="95">
        <v>0</v>
      </c>
      <c r="R60" s="95">
        <v>0</v>
      </c>
      <c r="S60" s="95">
        <v>0</v>
      </c>
      <c r="T60" s="95">
        <v>0</v>
      </c>
      <c r="U60" s="95">
        <v>0</v>
      </c>
      <c r="V60" s="95">
        <v>0</v>
      </c>
      <c r="W60" s="85">
        <v>19</v>
      </c>
      <c r="X60" s="85">
        <v>17</v>
      </c>
      <c r="Y60" s="85">
        <v>17</v>
      </c>
      <c r="Z60" s="85">
        <v>17</v>
      </c>
      <c r="AA60" s="85">
        <v>17</v>
      </c>
      <c r="AB60" s="85">
        <v>17</v>
      </c>
      <c r="AC60" s="89">
        <v>2.099</v>
      </c>
      <c r="AD60" s="89">
        <v>2.3</v>
      </c>
      <c r="AE60" s="89">
        <f>AD60*1.224</f>
        <v>2.8152</v>
      </c>
      <c r="AF60" s="89">
        <f>AE60*1.051</f>
        <v>2.9587752</v>
      </c>
      <c r="AG60" s="89">
        <f>AF60*1.047</f>
        <v>3.0978376344</v>
      </c>
      <c r="AH60" s="89"/>
      <c r="AI60" s="127">
        <f t="shared" si="43"/>
        <v>9206.140350877193</v>
      </c>
      <c r="AJ60" s="127">
        <f t="shared" si="44"/>
        <v>11274.509803921568</v>
      </c>
      <c r="AK60" s="127">
        <f t="shared" si="45"/>
        <v>13800</v>
      </c>
      <c r="AL60" s="127">
        <f t="shared" si="46"/>
        <v>14503.8</v>
      </c>
      <c r="AM60" s="127">
        <f t="shared" si="47"/>
        <v>15185.478599999999</v>
      </c>
      <c r="AN60" s="127">
        <f t="shared" si="48"/>
        <v>0</v>
      </c>
      <c r="AO60" s="82"/>
      <c r="AP60" s="82"/>
    </row>
    <row r="61" spans="1:42" ht="15.75" customHeight="1">
      <c r="A61" s="91" t="s">
        <v>8</v>
      </c>
      <c r="B61" s="115">
        <f aca="true" t="shared" si="49" ref="B61:AH61">B63</f>
        <v>1772.168</v>
      </c>
      <c r="C61" s="115">
        <f t="shared" si="49"/>
        <v>1769.077</v>
      </c>
      <c r="D61" s="115">
        <f t="shared" si="49"/>
        <v>2223.3575751992003</v>
      </c>
      <c r="E61" s="115">
        <f t="shared" si="49"/>
        <v>2347.8655994103556</v>
      </c>
      <c r="F61" s="115">
        <f t="shared" si="49"/>
        <v>2343.4188842599574</v>
      </c>
      <c r="G61" s="115">
        <f t="shared" si="49"/>
        <v>2402.0043563664562</v>
      </c>
      <c r="H61" s="115">
        <f t="shared" si="49"/>
        <v>2495.6825262647485</v>
      </c>
      <c r="I61" s="115">
        <f t="shared" si="49"/>
        <v>2140.152</v>
      </c>
      <c r="J61" s="115">
        <f t="shared" si="49"/>
        <v>2192.798</v>
      </c>
      <c r="K61" s="115">
        <f t="shared" si="49"/>
        <v>2433.367</v>
      </c>
      <c r="L61" s="118">
        <f t="shared" si="49"/>
        <v>2402.591</v>
      </c>
      <c r="M61" s="115">
        <f t="shared" si="49"/>
        <v>2559.901</v>
      </c>
      <c r="N61" s="118">
        <f t="shared" si="49"/>
        <v>2675.097</v>
      </c>
      <c r="O61" s="115">
        <f t="shared" si="49"/>
        <v>2787.452</v>
      </c>
      <c r="P61" s="115">
        <f t="shared" si="49"/>
        <v>339.838</v>
      </c>
      <c r="Q61" s="115">
        <f t="shared" si="49"/>
        <v>113.885</v>
      </c>
      <c r="R61" s="115">
        <f t="shared" si="49"/>
        <v>38.652</v>
      </c>
      <c r="S61" s="115">
        <f t="shared" si="49"/>
        <v>38.652</v>
      </c>
      <c r="T61" s="115">
        <f t="shared" si="49"/>
        <v>76.8</v>
      </c>
      <c r="U61" s="115">
        <f t="shared" si="49"/>
        <v>98.6</v>
      </c>
      <c r="V61" s="115">
        <f t="shared" si="49"/>
        <v>120.75</v>
      </c>
      <c r="W61" s="92">
        <f t="shared" si="49"/>
        <v>1147</v>
      </c>
      <c r="X61" s="92">
        <f t="shared" si="49"/>
        <v>1171</v>
      </c>
      <c r="Y61" s="92">
        <f t="shared" si="49"/>
        <v>1184</v>
      </c>
      <c r="Z61" s="92">
        <f t="shared" si="49"/>
        <v>1184</v>
      </c>
      <c r="AA61" s="92">
        <f t="shared" si="49"/>
        <v>1184</v>
      </c>
      <c r="AB61" s="92">
        <f t="shared" si="49"/>
        <v>1184</v>
      </c>
      <c r="AC61" s="94">
        <f t="shared" si="49"/>
        <v>278.906</v>
      </c>
      <c r="AD61" s="94">
        <f t="shared" si="49"/>
        <v>336.486</v>
      </c>
      <c r="AE61" s="94">
        <f t="shared" si="49"/>
        <v>341.81</v>
      </c>
      <c r="AF61" s="94">
        <f t="shared" si="49"/>
        <v>348.401</v>
      </c>
      <c r="AG61" s="94">
        <f t="shared" si="49"/>
        <v>358.505</v>
      </c>
      <c r="AH61" s="94">
        <f t="shared" si="49"/>
        <v>372.486</v>
      </c>
      <c r="AI61" s="134">
        <f t="shared" si="43"/>
        <v>20263.440860215054</v>
      </c>
      <c r="AJ61" s="134">
        <f t="shared" si="44"/>
        <v>23945.772843723313</v>
      </c>
      <c r="AK61" s="134">
        <f t="shared" si="45"/>
        <v>24057.573198198195</v>
      </c>
      <c r="AL61" s="134">
        <f t="shared" si="46"/>
        <v>24521.466779279282</v>
      </c>
      <c r="AM61" s="134">
        <f t="shared" si="47"/>
        <v>25232.61542792793</v>
      </c>
      <c r="AN61" s="134">
        <f t="shared" si="48"/>
        <v>26216.638513513513</v>
      </c>
      <c r="AO61" s="82"/>
      <c r="AP61" s="82"/>
    </row>
    <row r="62" spans="1:42" ht="15.75" customHeight="1">
      <c r="A62" s="87" t="s">
        <v>85</v>
      </c>
      <c r="B62" s="95"/>
      <c r="C62" s="95"/>
      <c r="D62" s="85"/>
      <c r="E62" s="85"/>
      <c r="F62" s="85"/>
      <c r="G62" s="85"/>
      <c r="H62" s="85"/>
      <c r="I62" s="95"/>
      <c r="J62" s="95"/>
      <c r="K62" s="85"/>
      <c r="L62" s="85"/>
      <c r="M62" s="85"/>
      <c r="N62" s="85"/>
      <c r="O62" s="85"/>
      <c r="P62" s="126"/>
      <c r="Q62" s="126"/>
      <c r="R62" s="119"/>
      <c r="S62" s="119"/>
      <c r="T62" s="119"/>
      <c r="U62" s="119"/>
      <c r="V62" s="119"/>
      <c r="W62" s="85"/>
      <c r="X62" s="85"/>
      <c r="Y62" s="85"/>
      <c r="Z62" s="85"/>
      <c r="AA62" s="85"/>
      <c r="AB62" s="85"/>
      <c r="AC62" s="89"/>
      <c r="AD62" s="89"/>
      <c r="AE62" s="89"/>
      <c r="AF62" s="89"/>
      <c r="AG62" s="89"/>
      <c r="AH62" s="89"/>
      <c r="AI62" s="134"/>
      <c r="AJ62" s="127"/>
      <c r="AK62" s="127"/>
      <c r="AL62" s="127"/>
      <c r="AM62" s="127"/>
      <c r="AN62" s="127"/>
      <c r="AO62" s="82"/>
      <c r="AP62" s="82"/>
    </row>
    <row r="63" spans="1:42" ht="16.5">
      <c r="A63" s="86" t="s">
        <v>113</v>
      </c>
      <c r="B63" s="95">
        <v>1772.168</v>
      </c>
      <c r="C63" s="136">
        <v>1769.077</v>
      </c>
      <c r="D63" s="95">
        <f>C63*115.94%*108.4%</f>
        <v>2223.3575751992003</v>
      </c>
      <c r="E63" s="95">
        <f>D63*100%*105.6%</f>
        <v>2347.8655994103556</v>
      </c>
      <c r="F63" s="95">
        <f>D63*100%*105.4%</f>
        <v>2343.4188842599574</v>
      </c>
      <c r="G63" s="95">
        <f>F63*100%*102.5%</f>
        <v>2402.0043563664562</v>
      </c>
      <c r="H63" s="95">
        <f>G63*100%*103.9%</f>
        <v>2495.6825262647485</v>
      </c>
      <c r="I63" s="95">
        <v>2140.152</v>
      </c>
      <c r="J63" s="136">
        <v>2192.798</v>
      </c>
      <c r="K63" s="136">
        <v>2433.367</v>
      </c>
      <c r="L63" s="136">
        <v>2402.591</v>
      </c>
      <c r="M63" s="136">
        <v>2559.901</v>
      </c>
      <c r="N63" s="136">
        <v>2675.097</v>
      </c>
      <c r="O63" s="136">
        <v>2787.452</v>
      </c>
      <c r="P63" s="95">
        <v>339.838</v>
      </c>
      <c r="Q63" s="136">
        <v>113.885</v>
      </c>
      <c r="R63" s="136">
        <v>38.652</v>
      </c>
      <c r="S63" s="136">
        <v>38.652</v>
      </c>
      <c r="T63" s="95">
        <v>76.8</v>
      </c>
      <c r="U63" s="95">
        <v>98.6</v>
      </c>
      <c r="V63" s="89">
        <v>120.75</v>
      </c>
      <c r="W63" s="85">
        <v>1147</v>
      </c>
      <c r="X63" s="85">
        <v>1171</v>
      </c>
      <c r="Y63" s="85">
        <v>1184</v>
      </c>
      <c r="Z63" s="85">
        <v>1184</v>
      </c>
      <c r="AA63" s="85">
        <v>1184</v>
      </c>
      <c r="AB63" s="85">
        <v>1184</v>
      </c>
      <c r="AC63" s="89">
        <v>278.906</v>
      </c>
      <c r="AD63" s="89">
        <v>336.486</v>
      </c>
      <c r="AE63" s="89">
        <v>341.81</v>
      </c>
      <c r="AF63" s="89">
        <v>348.401</v>
      </c>
      <c r="AG63" s="89">
        <v>358.505</v>
      </c>
      <c r="AH63" s="89">
        <v>372.486</v>
      </c>
      <c r="AI63" s="127">
        <f>(AC63/W63)/12*1000000</f>
        <v>20263.440860215054</v>
      </c>
      <c r="AJ63" s="127">
        <f>(AD63/X63)/12*1000000</f>
        <v>23945.772843723313</v>
      </c>
      <c r="AK63" s="127">
        <f aca="true" t="shared" si="50" ref="AK63:AN64">(AE63/Y63)/12*1000000</f>
        <v>24057.573198198195</v>
      </c>
      <c r="AL63" s="127">
        <f>(AF63/Z63)/12*1000000</f>
        <v>24521.466779279282</v>
      </c>
      <c r="AM63" s="127">
        <f>(AG63/AA63)/12*1000000</f>
        <v>25232.61542792793</v>
      </c>
      <c r="AN63" s="127">
        <f>(AH63/AB63)/12*1000000</f>
        <v>26216.638513513513</v>
      </c>
      <c r="AO63" s="82"/>
      <c r="AP63" s="82"/>
    </row>
    <row r="64" spans="1:42" ht="12.75" customHeight="1">
      <c r="A64" s="91" t="s">
        <v>9</v>
      </c>
      <c r="B64" s="209">
        <f aca="true" t="shared" si="51" ref="B64:AH64">B66+B67+B68+B69+B70</f>
        <v>722.1</v>
      </c>
      <c r="C64" s="117">
        <f t="shared" si="51"/>
        <v>804.0409999999999</v>
      </c>
      <c r="D64" s="117">
        <f t="shared" si="51"/>
        <v>863.2425388300001</v>
      </c>
      <c r="E64" s="117">
        <f t="shared" si="51"/>
        <v>922.7717443077169</v>
      </c>
      <c r="F64" s="117">
        <f t="shared" si="51"/>
        <v>921.8912369181102</v>
      </c>
      <c r="G64" s="117">
        <f t="shared" si="51"/>
        <v>989.4289889347311</v>
      </c>
      <c r="H64" s="117">
        <f t="shared" si="51"/>
        <v>1069.1373882833132</v>
      </c>
      <c r="I64" s="115">
        <f t="shared" si="51"/>
        <v>2888.3999999999996</v>
      </c>
      <c r="J64" s="118">
        <f t="shared" si="51"/>
        <v>3216.105</v>
      </c>
      <c r="K64" s="118">
        <f t="shared" si="51"/>
        <v>3452.9068111499996</v>
      </c>
      <c r="L64" s="118">
        <f t="shared" si="51"/>
        <v>3691.0192648469038</v>
      </c>
      <c r="M64" s="118">
        <f t="shared" si="51"/>
        <v>3687.497299899531</v>
      </c>
      <c r="N64" s="118">
        <f t="shared" si="51"/>
        <v>3957.6433520901705</v>
      </c>
      <c r="O64" s="118">
        <f t="shared" si="51"/>
        <v>4276.471100534555</v>
      </c>
      <c r="P64" s="115">
        <f t="shared" si="51"/>
        <v>11.85</v>
      </c>
      <c r="Q64" s="117">
        <f t="shared" si="51"/>
        <v>3.612</v>
      </c>
      <c r="R64" s="117">
        <f t="shared" si="51"/>
        <v>3.839556</v>
      </c>
      <c r="S64" s="117">
        <f t="shared" si="51"/>
        <v>4.023854688</v>
      </c>
      <c r="T64" s="117">
        <f t="shared" si="51"/>
        <v>4.020015131999999</v>
      </c>
      <c r="U64" s="117">
        <f t="shared" si="51"/>
        <v>4.188855767543999</v>
      </c>
      <c r="V64" s="117">
        <f t="shared" si="51"/>
        <v>4.352221142478216</v>
      </c>
      <c r="W64" s="92">
        <f>W66+W67+W68+W69+W70</f>
        <v>655</v>
      </c>
      <c r="X64" s="92">
        <f t="shared" si="51"/>
        <v>604</v>
      </c>
      <c r="Y64" s="92">
        <f t="shared" si="51"/>
        <v>653</v>
      </c>
      <c r="Z64" s="92">
        <f t="shared" si="51"/>
        <v>653</v>
      </c>
      <c r="AA64" s="92">
        <f t="shared" si="51"/>
        <v>653</v>
      </c>
      <c r="AB64" s="92">
        <f t="shared" si="51"/>
        <v>653</v>
      </c>
      <c r="AC64" s="94">
        <f t="shared" si="51"/>
        <v>108.68799999999999</v>
      </c>
      <c r="AD64" s="94">
        <f t="shared" si="51"/>
        <v>69.254</v>
      </c>
      <c r="AE64" s="94">
        <f t="shared" si="51"/>
        <v>81.74839200000001</v>
      </c>
      <c r="AF64" s="94">
        <f t="shared" si="51"/>
        <v>85.80335999200001</v>
      </c>
      <c r="AG64" s="94">
        <f t="shared" si="51"/>
        <v>89.73401791162401</v>
      </c>
      <c r="AH64" s="94">
        <f t="shared" si="51"/>
        <v>93.58871469973546</v>
      </c>
      <c r="AI64" s="134">
        <f>(AC64/W64)/12*1000000</f>
        <v>13827.98982188295</v>
      </c>
      <c r="AJ64" s="134">
        <f>(AD64/X64)/12*1000000</f>
        <v>9554.91169977925</v>
      </c>
      <c r="AK64" s="134">
        <f t="shared" si="50"/>
        <v>10432.4134762634</v>
      </c>
      <c r="AL64" s="134">
        <f t="shared" si="50"/>
        <v>10949.892801429303</v>
      </c>
      <c r="AM64" s="134">
        <f t="shared" si="50"/>
        <v>11451.50815615416</v>
      </c>
      <c r="AN64" s="134">
        <f t="shared" si="50"/>
        <v>11943.429645193397</v>
      </c>
      <c r="AO64" s="82"/>
      <c r="AP64" s="82"/>
    </row>
    <row r="65" spans="1:42" ht="12.75" customHeight="1">
      <c r="A65" s="87" t="s">
        <v>85</v>
      </c>
      <c r="B65" s="85" t="s">
        <v>251</v>
      </c>
      <c r="C65" s="85"/>
      <c r="D65" s="128">
        <v>0.01</v>
      </c>
      <c r="E65" s="128">
        <v>0.02</v>
      </c>
      <c r="F65" s="128">
        <v>0.02</v>
      </c>
      <c r="G65" s="128">
        <v>0.03</v>
      </c>
      <c r="H65" s="128">
        <v>0.04</v>
      </c>
      <c r="I65" s="85"/>
      <c r="J65" s="85"/>
      <c r="K65" s="115"/>
      <c r="L65" s="115"/>
      <c r="M65" s="115"/>
      <c r="N65" s="115"/>
      <c r="O65" s="115"/>
      <c r="P65" s="95"/>
      <c r="Q65" s="95"/>
      <c r="R65" s="115"/>
      <c r="S65" s="115"/>
      <c r="T65" s="115"/>
      <c r="U65" s="115"/>
      <c r="V65" s="115"/>
      <c r="W65" s="85"/>
      <c r="X65" s="85"/>
      <c r="Y65" s="85"/>
      <c r="Z65" s="85"/>
      <c r="AA65" s="85"/>
      <c r="AB65" s="85"/>
      <c r="AC65" s="89"/>
      <c r="AD65" s="89"/>
      <c r="AE65" s="89"/>
      <c r="AF65" s="89"/>
      <c r="AG65" s="89"/>
      <c r="AH65" s="89"/>
      <c r="AI65" s="134"/>
      <c r="AJ65" s="134"/>
      <c r="AK65" s="127"/>
      <c r="AL65" s="127"/>
      <c r="AM65" s="127"/>
      <c r="AN65" s="127"/>
      <c r="AO65" s="82"/>
      <c r="AP65" s="82"/>
    </row>
    <row r="66" spans="1:42" ht="16.5">
      <c r="A66" s="86" t="s">
        <v>152</v>
      </c>
      <c r="B66" s="85">
        <v>18.4</v>
      </c>
      <c r="C66" s="85">
        <v>16.4</v>
      </c>
      <c r="D66" s="124">
        <f>C66*101%*106.3%</f>
        <v>17.607532</v>
      </c>
      <c r="E66" s="124">
        <f>D66*102%*104.8%</f>
        <v>18.82174740672</v>
      </c>
      <c r="F66" s="124">
        <f>D66*102%*104.7%</f>
        <v>18.80378772408</v>
      </c>
      <c r="G66" s="124">
        <f>F66*103%*104.2%</f>
        <v>20.1813532127461</v>
      </c>
      <c r="H66" s="124">
        <f>G66*104%*103.9%</f>
        <v>21.80716302756493</v>
      </c>
      <c r="I66" s="85">
        <v>62.6</v>
      </c>
      <c r="J66" s="85">
        <v>65.7</v>
      </c>
      <c r="K66" s="124">
        <f>J66*101%*106.3%</f>
        <v>70.53749099999999</v>
      </c>
      <c r="L66" s="124">
        <f>K66*102%*104.8%</f>
        <v>75.40175637936</v>
      </c>
      <c r="M66" s="124">
        <f>K66*102%*104.7%</f>
        <v>75.32980813853999</v>
      </c>
      <c r="N66" s="124">
        <f>M66*103%*104.2%</f>
        <v>80.84846988276944</v>
      </c>
      <c r="O66" s="124">
        <f>N66*104%*103.9%</f>
        <v>87.36162261652535</v>
      </c>
      <c r="P66" s="95">
        <v>0</v>
      </c>
      <c r="Q66" s="95">
        <v>0</v>
      </c>
      <c r="R66" s="124">
        <f>Q66*106.3%</f>
        <v>0</v>
      </c>
      <c r="S66" s="124">
        <f>R66*104.8%</f>
        <v>0</v>
      </c>
      <c r="T66" s="124">
        <f>R66*104.7%</f>
        <v>0</v>
      </c>
      <c r="U66" s="124">
        <f>T66*104.2%</f>
        <v>0</v>
      </c>
      <c r="V66" s="124">
        <f>U66*103.9%</f>
        <v>0</v>
      </c>
      <c r="W66" s="85">
        <v>5</v>
      </c>
      <c r="X66" s="85">
        <v>13</v>
      </c>
      <c r="Y66" s="85">
        <v>13</v>
      </c>
      <c r="Z66" s="85">
        <v>13</v>
      </c>
      <c r="AA66" s="85">
        <v>13</v>
      </c>
      <c r="AB66" s="85">
        <v>13</v>
      </c>
      <c r="AC66" s="89">
        <v>1.56</v>
      </c>
      <c r="AD66" s="89">
        <v>4.142</v>
      </c>
      <c r="AE66" s="89">
        <v>4.2</v>
      </c>
      <c r="AF66" s="89">
        <v>4.3</v>
      </c>
      <c r="AG66" s="89">
        <v>4.4</v>
      </c>
      <c r="AH66" s="89">
        <v>4.5</v>
      </c>
      <c r="AI66" s="127">
        <f aca="true" t="shared" si="52" ref="AI66:AJ70">(AC66/W66)/12*1000000</f>
        <v>26000</v>
      </c>
      <c r="AJ66" s="127">
        <f>(AD66/X66)/12*1000000</f>
        <v>26551.282051282054</v>
      </c>
      <c r="AK66" s="127">
        <f>(AE66/Y66)/12*1000000</f>
        <v>26923.076923076926</v>
      </c>
      <c r="AL66" s="127">
        <f>(AF66/Z66)/12*1000000</f>
        <v>27564.102564102563</v>
      </c>
      <c r="AM66" s="127">
        <f>(AG66/AA66)/12*1000000</f>
        <v>28205.128205128207</v>
      </c>
      <c r="AN66" s="127">
        <f>(AH66/AB66)/12*1000000</f>
        <v>28846.153846153844</v>
      </c>
      <c r="AO66" s="82"/>
      <c r="AP66" s="82"/>
    </row>
    <row r="67" spans="1:42" ht="16.5">
      <c r="A67" s="86" t="s">
        <v>323</v>
      </c>
      <c r="B67" s="85">
        <v>9.3</v>
      </c>
      <c r="C67" s="85">
        <v>6.067</v>
      </c>
      <c r="D67" s="124">
        <f>C67*101%*106.3%</f>
        <v>6.51371321</v>
      </c>
      <c r="E67" s="124">
        <f>D67*102%*104.8%</f>
        <v>6.962898872961601</v>
      </c>
      <c r="F67" s="124">
        <f>D67*102%*104.7%</f>
        <v>6.9562548854874</v>
      </c>
      <c r="G67" s="124">
        <f>F67*103%*104.2%</f>
        <v>7.465870118398208</v>
      </c>
      <c r="H67" s="124">
        <f>G67*104%*103.9%</f>
        <v>8.067320615136369</v>
      </c>
      <c r="I67" s="85">
        <v>30.7</v>
      </c>
      <c r="J67" s="85">
        <v>26.784</v>
      </c>
      <c r="K67" s="124">
        <f>J67*101%*106.3%</f>
        <v>28.756105919999996</v>
      </c>
      <c r="L67" s="124">
        <f>K67*102%*104.8%</f>
        <v>30.739126984243196</v>
      </c>
      <c r="M67" s="124">
        <f>K67*102%*104.7%</f>
        <v>30.709795756204795</v>
      </c>
      <c r="N67" s="124">
        <f>M67*103%*104.2%</f>
        <v>32.95959539330436</v>
      </c>
      <c r="O67" s="124">
        <f>N67*104%*103.9%</f>
        <v>35.61482039818897</v>
      </c>
      <c r="P67" s="95">
        <v>0</v>
      </c>
      <c r="Q67" s="95">
        <v>0</v>
      </c>
      <c r="R67" s="124">
        <f>Q67*106.3%</f>
        <v>0</v>
      </c>
      <c r="S67" s="124">
        <f>R67*104.8%</f>
        <v>0</v>
      </c>
      <c r="T67" s="124">
        <f>R67*104.7%</f>
        <v>0</v>
      </c>
      <c r="U67" s="124">
        <f>T67*104.2%</f>
        <v>0</v>
      </c>
      <c r="V67" s="124">
        <f>U67*103.9%</f>
        <v>0</v>
      </c>
      <c r="W67" s="85">
        <v>0</v>
      </c>
      <c r="X67" s="85">
        <v>8</v>
      </c>
      <c r="Y67" s="85">
        <v>8</v>
      </c>
      <c r="Z67" s="85">
        <v>8</v>
      </c>
      <c r="AA67" s="85">
        <v>8</v>
      </c>
      <c r="AB67" s="85">
        <v>8</v>
      </c>
      <c r="AC67" s="89">
        <v>0</v>
      </c>
      <c r="AD67" s="89">
        <v>0.632</v>
      </c>
      <c r="AE67" s="89">
        <f>AD67*1.191</f>
        <v>0.752712</v>
      </c>
      <c r="AF67" s="89">
        <f>AE67*1.051</f>
        <v>0.791100312</v>
      </c>
      <c r="AG67" s="89">
        <f>AF67*1.047</f>
        <v>0.828282026664</v>
      </c>
      <c r="AH67" s="89">
        <f>AG67*1.044</f>
        <v>0.864726435837216</v>
      </c>
      <c r="AI67" s="127">
        <v>0</v>
      </c>
      <c r="AJ67" s="127">
        <f>(AD67/X67)/12*1000000</f>
        <v>6583.333333333333</v>
      </c>
      <c r="AK67" s="127">
        <f aca="true" t="shared" si="53" ref="AK67:AN70">(AE67/Y67)/12*1000000</f>
        <v>7840.750000000001</v>
      </c>
      <c r="AL67" s="127">
        <f t="shared" si="53"/>
        <v>8240.62825</v>
      </c>
      <c r="AM67" s="127">
        <f t="shared" si="53"/>
        <v>8627.93777775</v>
      </c>
      <c r="AN67" s="127">
        <f t="shared" si="53"/>
        <v>9007.567039971</v>
      </c>
      <c r="AO67" s="82"/>
      <c r="AP67" s="82"/>
    </row>
    <row r="68" spans="1:42" ht="16.5">
      <c r="A68" s="86" t="s">
        <v>153</v>
      </c>
      <c r="B68" s="85">
        <v>10.5</v>
      </c>
      <c r="C68" s="85">
        <v>11.554</v>
      </c>
      <c r="D68" s="124">
        <f>C68*101%*106.3%</f>
        <v>12.404721019999998</v>
      </c>
      <c r="E68" s="124">
        <f>D68*102%*104.8%</f>
        <v>13.2601505815392</v>
      </c>
      <c r="F68" s="124">
        <f>D68*102%*104.7%</f>
        <v>13.247497766098798</v>
      </c>
      <c r="G68" s="124">
        <f>F68*103%*104.2%</f>
        <v>14.218009452443196</v>
      </c>
      <c r="H68" s="124">
        <f>G68*104%*103.9%</f>
        <v>15.363412293932022</v>
      </c>
      <c r="I68" s="85">
        <v>52</v>
      </c>
      <c r="J68" s="85">
        <v>73.191</v>
      </c>
      <c r="K68" s="124">
        <f>J68*101%*106.3%</f>
        <v>78.58005333</v>
      </c>
      <c r="L68" s="124">
        <f>K68*102%*104.8%</f>
        <v>83.9989338076368</v>
      </c>
      <c r="M68" s="124">
        <f>K68*102%*104.7%</f>
        <v>83.91878215324019</v>
      </c>
      <c r="N68" s="124">
        <f>M68*103%*104.2%</f>
        <v>90.06667213378657</v>
      </c>
      <c r="O68" s="124">
        <f>N68*104%*103.9%</f>
        <v>97.32244324088444</v>
      </c>
      <c r="P68" s="95">
        <v>1</v>
      </c>
      <c r="Q68" s="136">
        <v>0.482</v>
      </c>
      <c r="R68" s="124">
        <f>Q68*106.3%</f>
        <v>0.512366</v>
      </c>
      <c r="S68" s="124">
        <f>R68*104.8%</f>
        <v>0.536959568</v>
      </c>
      <c r="T68" s="124">
        <f>R68*104.7%</f>
        <v>0.536447202</v>
      </c>
      <c r="U68" s="124">
        <f>T68*104.2%</f>
        <v>0.5589779844839999</v>
      </c>
      <c r="V68" s="124">
        <f>U68*103.9%</f>
        <v>0.580778125878876</v>
      </c>
      <c r="W68" s="85">
        <v>43</v>
      </c>
      <c r="X68" s="85">
        <v>48</v>
      </c>
      <c r="Y68" s="85">
        <v>48</v>
      </c>
      <c r="Z68" s="85">
        <v>48</v>
      </c>
      <c r="AA68" s="85">
        <v>48</v>
      </c>
      <c r="AB68" s="85">
        <v>48</v>
      </c>
      <c r="AC68" s="89">
        <v>4.143</v>
      </c>
      <c r="AD68" s="89">
        <v>4.691</v>
      </c>
      <c r="AE68" s="89">
        <f>AD68*1.191</f>
        <v>5.586981</v>
      </c>
      <c r="AF68" s="89">
        <f>AE68*1.051</f>
        <v>5.871917031</v>
      </c>
      <c r="AG68" s="89">
        <f>AF68*1.047</f>
        <v>6.1478971314569995</v>
      </c>
      <c r="AH68" s="89">
        <f>AG68*1.044</f>
        <v>6.418404605241108</v>
      </c>
      <c r="AI68" s="127">
        <f t="shared" si="52"/>
        <v>8029.06976744186</v>
      </c>
      <c r="AJ68" s="127">
        <f t="shared" si="52"/>
        <v>8144.097222222221</v>
      </c>
      <c r="AK68" s="127">
        <f t="shared" si="53"/>
        <v>9699.619791666666</v>
      </c>
      <c r="AL68" s="127">
        <f t="shared" si="53"/>
        <v>10194.300401041666</v>
      </c>
      <c r="AM68" s="127">
        <f t="shared" si="53"/>
        <v>10673.432519890626</v>
      </c>
      <c r="AN68" s="127">
        <f t="shared" si="53"/>
        <v>11143.063550765812</v>
      </c>
      <c r="AO68" s="82"/>
      <c r="AP68" s="82"/>
    </row>
    <row r="69" spans="1:42" ht="16.5">
      <c r="A69" s="86" t="s">
        <v>154</v>
      </c>
      <c r="B69" s="85">
        <v>7.4</v>
      </c>
      <c r="C69" s="85">
        <v>7.52</v>
      </c>
      <c r="D69" s="124">
        <f>C69*101%*106.3%</f>
        <v>8.0736976</v>
      </c>
      <c r="E69" s="124">
        <f>D69*102%*104.8%</f>
        <v>8.630459786495999</v>
      </c>
      <c r="F69" s="124">
        <f>D69*102%*104.7%</f>
        <v>8.622224614943999</v>
      </c>
      <c r="G69" s="124">
        <f>F69*103%*104.2%</f>
        <v>9.253888790234798</v>
      </c>
      <c r="H69" s="124">
        <f>G69*104%*103.9%</f>
        <v>9.999382071176115</v>
      </c>
      <c r="I69" s="85">
        <v>36.9</v>
      </c>
      <c r="J69" s="85">
        <v>30.08</v>
      </c>
      <c r="K69" s="124">
        <f>J69*101%*106.3%</f>
        <v>32.2947904</v>
      </c>
      <c r="L69" s="124">
        <f>K69*102%*104.8%</f>
        <v>34.521839145983996</v>
      </c>
      <c r="M69" s="124">
        <f>K69*102%*104.7%</f>
        <v>34.488898459775996</v>
      </c>
      <c r="N69" s="124">
        <f>M69*103%*104.2%</f>
        <v>37.01555516093919</v>
      </c>
      <c r="O69" s="124">
        <f>N69*104%*103.9%</f>
        <v>39.99752828470446</v>
      </c>
      <c r="P69" s="95">
        <v>0</v>
      </c>
      <c r="Q69" s="95">
        <v>0</v>
      </c>
      <c r="R69" s="124">
        <f>Q69*106.3%</f>
        <v>0</v>
      </c>
      <c r="S69" s="124">
        <f>R69*104.8%</f>
        <v>0</v>
      </c>
      <c r="T69" s="124">
        <f>R69*104.7%</f>
        <v>0</v>
      </c>
      <c r="U69" s="124">
        <f>T69*104.2%</f>
        <v>0</v>
      </c>
      <c r="V69" s="124">
        <f>U69*103.9%</f>
        <v>0</v>
      </c>
      <c r="W69" s="85">
        <v>8</v>
      </c>
      <c r="X69" s="85">
        <v>8</v>
      </c>
      <c r="Y69" s="85">
        <v>8</v>
      </c>
      <c r="Z69" s="85">
        <v>8</v>
      </c>
      <c r="AA69" s="85">
        <v>8</v>
      </c>
      <c r="AB69" s="85">
        <v>8</v>
      </c>
      <c r="AC69" s="89">
        <v>0.385</v>
      </c>
      <c r="AD69" s="89">
        <v>0.339</v>
      </c>
      <c r="AE69" s="89">
        <f>AD69*1.191</f>
        <v>0.403749</v>
      </c>
      <c r="AF69" s="89">
        <f>AE69*1.051</f>
        <v>0.424340199</v>
      </c>
      <c r="AG69" s="89">
        <f>AF69*1.047</f>
        <v>0.44428418835299993</v>
      </c>
      <c r="AH69" s="89">
        <f>AG69*1.044</f>
        <v>0.46383269264053195</v>
      </c>
      <c r="AI69" s="127">
        <f t="shared" si="52"/>
        <v>4010.4166666666665</v>
      </c>
      <c r="AJ69" s="127">
        <f t="shared" si="52"/>
        <v>3531.25</v>
      </c>
      <c r="AK69" s="127">
        <f t="shared" si="53"/>
        <v>4205.71875</v>
      </c>
      <c r="AL69" s="127">
        <f t="shared" si="53"/>
        <v>4420.210406249999</v>
      </c>
      <c r="AM69" s="127">
        <f t="shared" si="53"/>
        <v>4627.960295343749</v>
      </c>
      <c r="AN69" s="127">
        <f t="shared" si="53"/>
        <v>4831.590548338874</v>
      </c>
      <c r="AO69" s="82"/>
      <c r="AP69" s="82"/>
    </row>
    <row r="70" spans="1:42" ht="16.5">
      <c r="A70" s="86" t="s">
        <v>136</v>
      </c>
      <c r="B70" s="85">
        <v>676.5</v>
      </c>
      <c r="C70" s="95">
        <v>762.5</v>
      </c>
      <c r="D70" s="124">
        <f>C70*101%*106.3%</f>
        <v>818.642875</v>
      </c>
      <c r="E70" s="124">
        <f>D70*102%*104.8%</f>
        <v>875.0964876600001</v>
      </c>
      <c r="F70" s="124">
        <f>D70*102%*104.7%</f>
        <v>874.2614719275</v>
      </c>
      <c r="G70" s="124">
        <f>F70*103%*104.2%</f>
        <v>938.3098673609088</v>
      </c>
      <c r="H70" s="124">
        <f>G70*104%*103.9%</f>
        <v>1013.9001102755037</v>
      </c>
      <c r="I70" s="85">
        <v>2706.2</v>
      </c>
      <c r="J70" s="89">
        <v>3020.35</v>
      </c>
      <c r="K70" s="124">
        <f>J70*101%*106.3%</f>
        <v>3242.7383704999997</v>
      </c>
      <c r="L70" s="124">
        <f>K70*102%*104.8%</f>
        <v>3466.35760852968</v>
      </c>
      <c r="M70" s="124">
        <f>K70*102%*104.7%</f>
        <v>3463.0500153917696</v>
      </c>
      <c r="N70" s="124">
        <f>M70*103%*104.2%</f>
        <v>3716.753059519371</v>
      </c>
      <c r="O70" s="124">
        <f>N70*104%*103.9%</f>
        <v>4016.1746859942523</v>
      </c>
      <c r="P70" s="95">
        <v>10.85</v>
      </c>
      <c r="Q70" s="136">
        <v>3.13</v>
      </c>
      <c r="R70" s="124">
        <f>Q70*106.3%</f>
        <v>3.32719</v>
      </c>
      <c r="S70" s="124">
        <f>R70*104.8%</f>
        <v>3.48689512</v>
      </c>
      <c r="T70" s="124">
        <f>R70*104.7%</f>
        <v>3.4835679299999995</v>
      </c>
      <c r="U70" s="124">
        <f>T70*104.2%</f>
        <v>3.6298777830599995</v>
      </c>
      <c r="V70" s="124">
        <f>U70*103.9%</f>
        <v>3.7714430165993402</v>
      </c>
      <c r="W70" s="85">
        <v>599</v>
      </c>
      <c r="X70" s="85">
        <v>527</v>
      </c>
      <c r="Y70" s="85">
        <v>576</v>
      </c>
      <c r="Z70" s="85">
        <v>576</v>
      </c>
      <c r="AA70" s="85">
        <v>576</v>
      </c>
      <c r="AB70" s="85">
        <v>576</v>
      </c>
      <c r="AC70" s="89">
        <v>102.6</v>
      </c>
      <c r="AD70" s="89">
        <v>59.45</v>
      </c>
      <c r="AE70" s="89">
        <f>AD70*1.191</f>
        <v>70.80495</v>
      </c>
      <c r="AF70" s="89">
        <f>AE70*1.051</f>
        <v>74.41600245000001</v>
      </c>
      <c r="AG70" s="89">
        <f>AF70*1.047</f>
        <v>77.91355456515001</v>
      </c>
      <c r="AH70" s="89">
        <f>AG70*1.044</f>
        <v>81.3417509660166</v>
      </c>
      <c r="AI70" s="127">
        <f>(AC70/W70)/12*1000000</f>
        <v>14273.789649415692</v>
      </c>
      <c r="AJ70" s="127">
        <f t="shared" si="52"/>
        <v>9400.69576217584</v>
      </c>
      <c r="AK70" s="127">
        <f t="shared" si="53"/>
        <v>10243.77170138889</v>
      </c>
      <c r="AL70" s="127">
        <f t="shared" si="53"/>
        <v>10766.204058159723</v>
      </c>
      <c r="AM70" s="127">
        <f t="shared" si="53"/>
        <v>11272.21564889323</v>
      </c>
      <c r="AN70" s="127">
        <f t="shared" si="53"/>
        <v>11768.19313744453</v>
      </c>
      <c r="AO70" s="82"/>
      <c r="AP70" s="82"/>
    </row>
    <row r="71" spans="1:42" ht="16.5" hidden="1">
      <c r="A71" s="86" t="s">
        <v>325</v>
      </c>
      <c r="B71" s="110"/>
      <c r="C71" s="124"/>
      <c r="D71" s="124"/>
      <c r="E71" s="124"/>
      <c r="F71" s="124"/>
      <c r="G71" s="124"/>
      <c r="H71" s="124"/>
      <c r="I71" s="110"/>
      <c r="J71" s="195">
        <v>112.113</v>
      </c>
      <c r="K71" s="124"/>
      <c r="L71" s="124"/>
      <c r="M71" s="124"/>
      <c r="N71" s="124"/>
      <c r="O71" s="124"/>
      <c r="P71" s="124"/>
      <c r="Q71" s="194"/>
      <c r="R71" s="124"/>
      <c r="S71" s="124"/>
      <c r="T71" s="124"/>
      <c r="U71" s="124"/>
      <c r="V71" s="124"/>
      <c r="W71" s="110"/>
      <c r="X71" s="110"/>
      <c r="Y71" s="110"/>
      <c r="Z71" s="110"/>
      <c r="AA71" s="110"/>
      <c r="AB71" s="110"/>
      <c r="AC71" s="195"/>
      <c r="AD71" s="195"/>
      <c r="AE71" s="195"/>
      <c r="AF71" s="195"/>
      <c r="AG71" s="195"/>
      <c r="AH71" s="195"/>
      <c r="AI71" s="127" t="e">
        <f>(AC71/W71)/12*1000000</f>
        <v>#DIV/0!</v>
      </c>
      <c r="AJ71" s="127"/>
      <c r="AK71" s="127"/>
      <c r="AL71" s="127"/>
      <c r="AM71" s="127"/>
      <c r="AN71" s="127"/>
      <c r="AO71" s="82"/>
      <c r="AP71" s="82"/>
    </row>
    <row r="72" spans="1:42" ht="16.5">
      <c r="A72" s="86" t="s">
        <v>325</v>
      </c>
      <c r="B72" s="110"/>
      <c r="C72" s="124"/>
      <c r="D72" s="124"/>
      <c r="E72" s="124">
        <v>369.3</v>
      </c>
      <c r="F72" s="124">
        <v>369.6</v>
      </c>
      <c r="G72" s="124">
        <v>343.2</v>
      </c>
      <c r="H72" s="124">
        <v>325.5</v>
      </c>
      <c r="I72" s="110"/>
      <c r="J72" s="195"/>
      <c r="K72" s="124"/>
      <c r="L72" s="124">
        <v>360.3</v>
      </c>
      <c r="M72" s="124">
        <v>371.1</v>
      </c>
      <c r="N72" s="124">
        <v>348</v>
      </c>
      <c r="O72" s="124">
        <v>331.3</v>
      </c>
      <c r="P72" s="124"/>
      <c r="Q72" s="194"/>
      <c r="R72" s="124"/>
      <c r="S72" s="124"/>
      <c r="T72" s="124"/>
      <c r="U72" s="124"/>
      <c r="V72" s="124"/>
      <c r="W72" s="110">
        <v>565</v>
      </c>
      <c r="X72" s="110">
        <v>150</v>
      </c>
      <c r="Y72" s="110">
        <v>27</v>
      </c>
      <c r="Z72" s="110">
        <v>91</v>
      </c>
      <c r="AA72" s="110">
        <v>101</v>
      </c>
      <c r="AB72" s="110">
        <v>101</v>
      </c>
      <c r="AC72" s="195">
        <v>0</v>
      </c>
      <c r="AD72" s="195">
        <v>99.907</v>
      </c>
      <c r="AE72" s="195">
        <v>9.037</v>
      </c>
      <c r="AF72" s="195">
        <v>65.758</v>
      </c>
      <c r="AG72" s="195">
        <v>51.338</v>
      </c>
      <c r="AH72" s="195">
        <v>28.337</v>
      </c>
      <c r="AI72" s="127"/>
      <c r="AJ72" s="127"/>
      <c r="AK72" s="127"/>
      <c r="AL72" s="127"/>
      <c r="AM72" s="127"/>
      <c r="AN72" s="127"/>
      <c r="AO72" s="82"/>
      <c r="AP72" s="82"/>
    </row>
    <row r="73" spans="1:42" ht="16.5">
      <c r="A73" s="91" t="s">
        <v>10</v>
      </c>
      <c r="B73" s="115">
        <f aca="true" t="shared" si="54" ref="B73:O73">B75+B76+B77+B78+B79+B80+B81+B82+B83+B84+B85+B86+B88+B91+B90</f>
        <v>659.1000000000001</v>
      </c>
      <c r="C73" s="117">
        <f t="shared" si="54"/>
        <v>694.122</v>
      </c>
      <c r="D73" s="117">
        <f t="shared" si="54"/>
        <v>745.9196270000001</v>
      </c>
      <c r="E73" s="117">
        <f t="shared" si="54"/>
        <v>789.086257887</v>
      </c>
      <c r="F73" s="117">
        <f t="shared" si="54"/>
        <v>788.621213962</v>
      </c>
      <c r="G73" s="117">
        <f t="shared" si="54"/>
        <v>835.7430750683819</v>
      </c>
      <c r="H73" s="117">
        <f t="shared" si="54"/>
        <v>874.937665406954</v>
      </c>
      <c r="I73" s="115">
        <f t="shared" si="54"/>
        <v>804.2</v>
      </c>
      <c r="J73" s="115">
        <f t="shared" si="54"/>
        <v>734.504</v>
      </c>
      <c r="K73" s="118">
        <f t="shared" si="54"/>
        <v>789.328914</v>
      </c>
      <c r="L73" s="118">
        <f t="shared" si="54"/>
        <v>835.0523012340001</v>
      </c>
      <c r="M73" s="118">
        <f t="shared" si="54"/>
        <v>834.545311884</v>
      </c>
      <c r="N73" s="118">
        <f t="shared" si="54"/>
        <v>884.3797864443239</v>
      </c>
      <c r="O73" s="118">
        <f t="shared" si="54"/>
        <v>926.2531816701492</v>
      </c>
      <c r="P73" s="115">
        <f>P75+P76+P77+P78+P79+P80+P81+P82+P83+P84+P85+P86+P88+P91</f>
        <v>17</v>
      </c>
      <c r="Q73" s="117">
        <f aca="true" t="shared" si="55" ref="Q73:AB73">Q75+Q76+Q77+Q78+Q79+Q80+Q81+Q82+Q83+Q84+Q85+Q86+Q88+Q90+Q91</f>
        <v>21.516</v>
      </c>
      <c r="R73" s="117">
        <f t="shared" si="55"/>
        <v>23.120507</v>
      </c>
      <c r="S73" s="117">
        <f t="shared" si="55"/>
        <v>24.454997067</v>
      </c>
      <c r="T73" s="117">
        <f t="shared" si="55"/>
        <v>25.025616246352</v>
      </c>
      <c r="U73" s="117">
        <f t="shared" si="55"/>
        <v>26.524147709279475</v>
      </c>
      <c r="V73" s="117">
        <f t="shared" si="55"/>
        <v>28.012660797947746</v>
      </c>
      <c r="W73" s="116">
        <f>W75+W76+W77+W78+W79+W80+W81+W82+W83+W84+W85+W86+W88+W90+W91</f>
        <v>6432</v>
      </c>
      <c r="X73" s="116">
        <f t="shared" si="55"/>
        <v>6512</v>
      </c>
      <c r="Y73" s="116">
        <f t="shared" si="55"/>
        <v>6510</v>
      </c>
      <c r="Z73" s="116">
        <f t="shared" si="55"/>
        <v>6636</v>
      </c>
      <c r="AA73" s="116">
        <f t="shared" si="55"/>
        <v>6626</v>
      </c>
      <c r="AB73" s="116">
        <f t="shared" si="55"/>
        <v>6626</v>
      </c>
      <c r="AC73" s="115">
        <f>AC75+AC76+AC77+AC78+AC79+AC80+AC81+AC82+AC83+AC84+AC85+AC86+AC89+AC91</f>
        <v>1581.57</v>
      </c>
      <c r="AD73" s="115">
        <f>SUM(AD75:AD91)</f>
        <v>1680.599</v>
      </c>
      <c r="AE73" s="115">
        <f>SUM(AE75:AE91)</f>
        <v>1848.489631</v>
      </c>
      <c r="AF73" s="115">
        <f>SUM(AF75:AF91)</f>
        <v>2059.488602181</v>
      </c>
      <c r="AG73" s="115">
        <f>SUM(AG75:AG91)</f>
        <v>2338.6975664835068</v>
      </c>
      <c r="AH73" s="115">
        <f>SUM(AH75:AH91)</f>
        <v>2759.317659408781</v>
      </c>
      <c r="AI73" s="134">
        <f aca="true" t="shared" si="56" ref="AI73:AN73">(AC73/W73)/12*1000000</f>
        <v>20490.904850746265</v>
      </c>
      <c r="AJ73" s="134">
        <f t="shared" si="56"/>
        <v>21506.436834561835</v>
      </c>
      <c r="AK73" s="134">
        <f t="shared" si="56"/>
        <v>23662.18165642601</v>
      </c>
      <c r="AL73" s="134">
        <f t="shared" si="56"/>
        <v>25862.575373982818</v>
      </c>
      <c r="AM73" s="134">
        <f t="shared" si="56"/>
        <v>29413.139733417684</v>
      </c>
      <c r="AN73" s="134">
        <f t="shared" si="56"/>
        <v>34703.160018723975</v>
      </c>
      <c r="AO73" s="82"/>
      <c r="AP73" s="82"/>
    </row>
    <row r="74" spans="1:42" ht="16.5">
      <c r="A74" s="87" t="s">
        <v>85</v>
      </c>
      <c r="B74" s="85"/>
      <c r="C74" s="85"/>
      <c r="D74" s="85"/>
      <c r="E74" s="85"/>
      <c r="F74" s="85"/>
      <c r="G74" s="85"/>
      <c r="H74" s="85"/>
      <c r="I74" s="85"/>
      <c r="J74" s="85"/>
      <c r="K74" s="85"/>
      <c r="L74" s="85"/>
      <c r="M74" s="85"/>
      <c r="N74" s="85"/>
      <c r="O74" s="85"/>
      <c r="P74" s="126"/>
      <c r="Q74" s="126"/>
      <c r="R74" s="119"/>
      <c r="S74" s="119"/>
      <c r="T74" s="119"/>
      <c r="U74" s="119"/>
      <c r="V74" s="119"/>
      <c r="W74" s="85"/>
      <c r="X74" s="85"/>
      <c r="Y74" s="85"/>
      <c r="Z74" s="85"/>
      <c r="AA74" s="85"/>
      <c r="AB74" s="85"/>
      <c r="AC74" s="89"/>
      <c r="AD74" s="89"/>
      <c r="AE74" s="89"/>
      <c r="AF74" s="89"/>
      <c r="AG74" s="89"/>
      <c r="AH74" s="89"/>
      <c r="AI74" s="134"/>
      <c r="AJ74" s="127"/>
      <c r="AK74" s="127"/>
      <c r="AL74" s="127"/>
      <c r="AM74" s="127"/>
      <c r="AN74" s="127"/>
      <c r="AO74" s="82"/>
      <c r="AP74" s="82"/>
    </row>
    <row r="75" spans="1:42" ht="30.75" customHeight="1">
      <c r="A75" s="86" t="s">
        <v>155</v>
      </c>
      <c r="B75" s="95">
        <v>28.3</v>
      </c>
      <c r="C75" s="136">
        <v>26.669</v>
      </c>
      <c r="D75" s="136">
        <f>C75*100%*107.5%</f>
        <v>28.669175</v>
      </c>
      <c r="E75" s="136">
        <f>D75*100%*105.9%</f>
        <v>30.360656325000004</v>
      </c>
      <c r="F75" s="136">
        <f>D75*100%*105.8%</f>
        <v>30.33198715</v>
      </c>
      <c r="G75" s="136">
        <f>F75*100%*105.9%</f>
        <v>32.121574391850004</v>
      </c>
      <c r="H75" s="136">
        <f>G75*100%*105.7%</f>
        <v>33.95250413218545</v>
      </c>
      <c r="I75" s="136">
        <v>28.3</v>
      </c>
      <c r="J75" s="136">
        <v>26.669</v>
      </c>
      <c r="K75" s="136">
        <f>J75*100%*107.5%</f>
        <v>28.669175</v>
      </c>
      <c r="L75" s="136">
        <f>K75*100%*105.9%</f>
        <v>30.360656325000004</v>
      </c>
      <c r="M75" s="136">
        <f>K75*100%*105.8%</f>
        <v>30.33198715</v>
      </c>
      <c r="N75" s="136">
        <f>M75*100%*105.9%</f>
        <v>32.121574391850004</v>
      </c>
      <c r="O75" s="136">
        <f>N75*100%*105.7%</f>
        <v>33.95250413218545</v>
      </c>
      <c r="P75" s="136">
        <v>0.2</v>
      </c>
      <c r="Q75" s="136">
        <v>0.169</v>
      </c>
      <c r="R75" s="136">
        <f>Q75*107.5%</f>
        <v>0.181675</v>
      </c>
      <c r="S75" s="136">
        <f>R75*105.9%</f>
        <v>0.19239382500000005</v>
      </c>
      <c r="T75" s="136">
        <f>R75*105.8%</f>
        <v>0.19221215000000003</v>
      </c>
      <c r="U75" s="136">
        <f>T75*105.9%</f>
        <v>0.20355266685000006</v>
      </c>
      <c r="V75" s="136">
        <f>U75*105.7%</f>
        <v>0.21515516886045005</v>
      </c>
      <c r="W75" s="85">
        <v>76</v>
      </c>
      <c r="X75" s="85">
        <v>80</v>
      </c>
      <c r="Y75" s="85">
        <v>80</v>
      </c>
      <c r="Z75" s="85">
        <v>80</v>
      </c>
      <c r="AA75" s="85">
        <v>80</v>
      </c>
      <c r="AB75" s="85">
        <v>80</v>
      </c>
      <c r="AC75" s="89">
        <v>11.943</v>
      </c>
      <c r="AD75" s="89">
        <v>11.654</v>
      </c>
      <c r="AE75" s="89">
        <f>AD75*1.169</f>
        <v>13.623526</v>
      </c>
      <c r="AF75" s="89">
        <f aca="true" t="shared" si="57" ref="AF75:AF90">AE75*1.051</f>
        <v>14.318325825999999</v>
      </c>
      <c r="AG75" s="89">
        <f aca="true" t="shared" si="58" ref="AG75:AG90">AF75*1.047</f>
        <v>14.991287139821997</v>
      </c>
      <c r="AH75" s="89">
        <f aca="true" t="shared" si="59" ref="AH75:AH90">AG75*1.044</f>
        <v>15.650903773974166</v>
      </c>
      <c r="AI75" s="127">
        <f aca="true" t="shared" si="60" ref="AI75:AN77">(AC75/W75)/12*1000000</f>
        <v>13095.394736842105</v>
      </c>
      <c r="AJ75" s="127">
        <f t="shared" si="60"/>
        <v>12139.583333333334</v>
      </c>
      <c r="AK75" s="127">
        <f t="shared" si="60"/>
        <v>14191.172916666666</v>
      </c>
      <c r="AL75" s="127">
        <f t="shared" si="60"/>
        <v>14914.922735416663</v>
      </c>
      <c r="AM75" s="127">
        <f t="shared" si="60"/>
        <v>15615.92410398125</v>
      </c>
      <c r="AN75" s="127">
        <f t="shared" si="60"/>
        <v>16303.024764556421</v>
      </c>
      <c r="AO75" s="82"/>
      <c r="AP75" s="82"/>
    </row>
    <row r="76" spans="1:42" ht="16.5" customHeight="1">
      <c r="A76" s="86" t="s">
        <v>171</v>
      </c>
      <c r="B76" s="95">
        <v>77.6</v>
      </c>
      <c r="C76" s="95">
        <v>87.729</v>
      </c>
      <c r="D76" s="136">
        <f>C76*100%*107.5%</f>
        <v>94.308675</v>
      </c>
      <c r="E76" s="136">
        <f>D76*100%*105.9%</f>
        <v>99.87288682500001</v>
      </c>
      <c r="F76" s="136">
        <f>D76*100%*105.8%</f>
        <v>99.77857815</v>
      </c>
      <c r="G76" s="136">
        <f>F76*100%*105.9%</f>
        <v>105.66551426085002</v>
      </c>
      <c r="H76" s="136">
        <f>G76*100%*105.7%</f>
        <v>111.68844857371846</v>
      </c>
      <c r="I76" s="95">
        <v>91.6</v>
      </c>
      <c r="J76" s="95">
        <v>99.095</v>
      </c>
      <c r="K76" s="136">
        <f>J76*100%*107.5%</f>
        <v>106.527125</v>
      </c>
      <c r="L76" s="136">
        <f>K76*100%*105.9%</f>
        <v>112.81222537500001</v>
      </c>
      <c r="M76" s="136">
        <f>K76*100%*105.8%</f>
        <v>112.70569825</v>
      </c>
      <c r="N76" s="136">
        <f>M76*100%*105.9%</f>
        <v>119.35533444675002</v>
      </c>
      <c r="O76" s="136">
        <f>N76*100%*105.7%</f>
        <v>126.15858851021477</v>
      </c>
      <c r="P76" s="95">
        <v>5.4</v>
      </c>
      <c r="Q76" s="136">
        <v>3.043</v>
      </c>
      <c r="R76" s="136">
        <f>Q76*107.5%</f>
        <v>3.271225</v>
      </c>
      <c r="S76" s="136">
        <f>R76*105.9%</f>
        <v>3.4642272750000003</v>
      </c>
      <c r="T76" s="136">
        <f>R76*105.8%</f>
        <v>3.46095605</v>
      </c>
      <c r="U76" s="136">
        <f>T76*105.9%</f>
        <v>3.6651524569500005</v>
      </c>
      <c r="V76" s="136">
        <f>U76*105.7%</f>
        <v>3.8740661469961504</v>
      </c>
      <c r="W76" s="85">
        <v>207</v>
      </c>
      <c r="X76" s="85">
        <v>195</v>
      </c>
      <c r="Y76" s="85">
        <v>195</v>
      </c>
      <c r="Z76" s="85">
        <v>195</v>
      </c>
      <c r="AA76" s="85">
        <v>195</v>
      </c>
      <c r="AB76" s="85">
        <v>195</v>
      </c>
      <c r="AC76" s="89">
        <v>36.328</v>
      </c>
      <c r="AD76" s="89">
        <v>43.184</v>
      </c>
      <c r="AE76" s="89">
        <f>AD76*1.169</f>
        <v>50.482096</v>
      </c>
      <c r="AF76" s="89">
        <f t="shared" si="57"/>
        <v>53.056682896</v>
      </c>
      <c r="AG76" s="89">
        <f t="shared" si="58"/>
        <v>55.550346992112</v>
      </c>
      <c r="AH76" s="89">
        <f t="shared" si="59"/>
        <v>57.994562259764926</v>
      </c>
      <c r="AI76" s="127">
        <f t="shared" si="60"/>
        <v>14624.798711755235</v>
      </c>
      <c r="AJ76" s="127">
        <f t="shared" si="60"/>
        <v>18454.70085470085</v>
      </c>
      <c r="AK76" s="127">
        <f t="shared" si="60"/>
        <v>21573.545299145302</v>
      </c>
      <c r="AL76" s="127">
        <f t="shared" si="60"/>
        <v>22673.79610940171</v>
      </c>
      <c r="AM76" s="127">
        <f t="shared" si="60"/>
        <v>23739.464526543587</v>
      </c>
      <c r="AN76" s="127">
        <f t="shared" si="60"/>
        <v>24784.000965711508</v>
      </c>
      <c r="AO76" s="82"/>
      <c r="AP76" s="82"/>
    </row>
    <row r="77" spans="1:42" ht="16.5">
      <c r="A77" s="86" t="s">
        <v>156</v>
      </c>
      <c r="B77" s="85">
        <v>39</v>
      </c>
      <c r="C77" s="85">
        <v>37.769</v>
      </c>
      <c r="D77" s="136">
        <f>C77*100%*107.5%</f>
        <v>40.60167499999999</v>
      </c>
      <c r="E77" s="136">
        <f>D77*100%*105.9%</f>
        <v>42.997173825</v>
      </c>
      <c r="F77" s="136">
        <f>D77*100%*105.8%</f>
        <v>42.95657214999999</v>
      </c>
      <c r="G77" s="136">
        <f>F77*100%*105.9%</f>
        <v>45.491009906849996</v>
      </c>
      <c r="H77" s="136">
        <f>G77*100%*105.7%</f>
        <v>48.08399747154044</v>
      </c>
      <c r="I77" s="85">
        <v>43.7</v>
      </c>
      <c r="J77" s="85">
        <v>43.957</v>
      </c>
      <c r="K77" s="136">
        <f>J77*100%*107.5%</f>
        <v>47.253775</v>
      </c>
      <c r="L77" s="136">
        <f>K77*100%*105.9%</f>
        <v>50.04174772500001</v>
      </c>
      <c r="M77" s="136">
        <f>K77*100%*105.8%</f>
        <v>49.99449395</v>
      </c>
      <c r="N77" s="136">
        <f>M77*100%*105.9%</f>
        <v>52.94416909305001</v>
      </c>
      <c r="O77" s="136">
        <f>N77*100%*105.7%</f>
        <v>55.96198673135385</v>
      </c>
      <c r="P77" s="95">
        <v>7</v>
      </c>
      <c r="Q77" s="136">
        <v>5.002</v>
      </c>
      <c r="R77" s="136">
        <f>Q77*107.5%</f>
        <v>5.377149999999999</v>
      </c>
      <c r="S77" s="136">
        <f>R77*105.9%</f>
        <v>5.69440185</v>
      </c>
      <c r="T77" s="136">
        <f>R77*105.8%</f>
        <v>5.6890247</v>
      </c>
      <c r="U77" s="136">
        <f>T77*105.9%</f>
        <v>6.024677157300001</v>
      </c>
      <c r="V77" s="136">
        <f>U77*105.7%</f>
        <v>6.368083755266101</v>
      </c>
      <c r="W77" s="85">
        <v>68</v>
      </c>
      <c r="X77" s="85">
        <v>63</v>
      </c>
      <c r="Y77" s="85">
        <v>63</v>
      </c>
      <c r="Z77" s="85">
        <v>63</v>
      </c>
      <c r="AA77" s="85">
        <v>63</v>
      </c>
      <c r="AB77" s="85">
        <v>63</v>
      </c>
      <c r="AC77" s="89">
        <v>12.971</v>
      </c>
      <c r="AD77" s="89">
        <v>14.79</v>
      </c>
      <c r="AE77" s="89">
        <f>AD77*1.134</f>
        <v>16.771859999999997</v>
      </c>
      <c r="AF77" s="89">
        <f t="shared" si="57"/>
        <v>17.627224859999995</v>
      </c>
      <c r="AG77" s="89">
        <f t="shared" si="58"/>
        <v>18.455704428419992</v>
      </c>
      <c r="AH77" s="89">
        <f t="shared" si="59"/>
        <v>19.267755423270472</v>
      </c>
      <c r="AI77" s="127">
        <f t="shared" si="60"/>
        <v>15895.833333333334</v>
      </c>
      <c r="AJ77" s="127">
        <f t="shared" si="60"/>
        <v>19563.492063492064</v>
      </c>
      <c r="AK77" s="127">
        <f t="shared" si="60"/>
        <v>22184.999999999996</v>
      </c>
      <c r="AL77" s="127">
        <f t="shared" si="60"/>
        <v>23316.434999999994</v>
      </c>
      <c r="AM77" s="127">
        <f t="shared" si="60"/>
        <v>24412.307444999988</v>
      </c>
      <c r="AN77" s="127">
        <f t="shared" si="60"/>
        <v>25486.448972579987</v>
      </c>
      <c r="AO77" s="82"/>
      <c r="AP77" s="82"/>
    </row>
    <row r="78" spans="1:42" ht="16.5">
      <c r="A78" s="86" t="s">
        <v>324</v>
      </c>
      <c r="B78" s="85">
        <v>30.2</v>
      </c>
      <c r="C78" s="85">
        <v>37.526</v>
      </c>
      <c r="D78" s="95">
        <f aca="true" t="shared" si="61" ref="D78:D85">C78*100%*107.4%</f>
        <v>40.302924000000004</v>
      </c>
      <c r="E78" s="95">
        <f aca="true" t="shared" si="62" ref="E78:E85">D78*100%*105.6%</f>
        <v>42.55988774400001</v>
      </c>
      <c r="F78" s="95">
        <f aca="true" t="shared" si="63" ref="F78:F85">D78*100%*105.6%</f>
        <v>42.55988774400001</v>
      </c>
      <c r="G78" s="95">
        <f aca="true" t="shared" si="64" ref="G78:G85">F78*100%*106.1%</f>
        <v>45.156040896384006</v>
      </c>
      <c r="H78" s="95">
        <f aca="true" t="shared" si="65" ref="H78:H85">G78+100%*105.5%</f>
        <v>46.211040896384006</v>
      </c>
      <c r="I78" s="85">
        <v>30.2</v>
      </c>
      <c r="J78" s="85">
        <v>37.526</v>
      </c>
      <c r="K78" s="95">
        <f aca="true" t="shared" si="66" ref="K78:K85">J78*100%*107.4%</f>
        <v>40.302924000000004</v>
      </c>
      <c r="L78" s="95">
        <f aca="true" t="shared" si="67" ref="L78:L85">K78*100%*105.6%</f>
        <v>42.55988774400001</v>
      </c>
      <c r="M78" s="95">
        <f aca="true" t="shared" si="68" ref="M78:M85">K78*100%*105.6%</f>
        <v>42.55988774400001</v>
      </c>
      <c r="N78" s="95">
        <f aca="true" t="shared" si="69" ref="N78:N85">M78*100%*106.1%</f>
        <v>45.156040896384006</v>
      </c>
      <c r="O78" s="95">
        <f aca="true" t="shared" si="70" ref="O78:O85">N78+100%*105.5%</f>
        <v>46.211040896384006</v>
      </c>
      <c r="P78" s="95">
        <v>0.6</v>
      </c>
      <c r="Q78" s="136">
        <v>6.085</v>
      </c>
      <c r="R78" s="136">
        <f aca="true" t="shared" si="71" ref="R78:R85">Q78*107.4%</f>
        <v>6.535290000000001</v>
      </c>
      <c r="S78" s="136">
        <f aca="true" t="shared" si="72" ref="S78:T85">R78*105.6%</f>
        <v>6.901266240000001</v>
      </c>
      <c r="T78" s="136">
        <f t="shared" si="72"/>
        <v>7.287737149440002</v>
      </c>
      <c r="U78" s="136">
        <f aca="true" t="shared" si="73" ref="U78:U85">T78*106.1%</f>
        <v>7.732289115555841</v>
      </c>
      <c r="V78" s="136">
        <f aca="true" t="shared" si="74" ref="V78:V85">U78*105.5%</f>
        <v>8.157565016911413</v>
      </c>
      <c r="W78" s="85">
        <v>83</v>
      </c>
      <c r="X78" s="85">
        <v>87</v>
      </c>
      <c r="Y78" s="85">
        <v>87</v>
      </c>
      <c r="Z78" s="85">
        <v>87</v>
      </c>
      <c r="AA78" s="85">
        <v>87</v>
      </c>
      <c r="AB78" s="85">
        <v>87</v>
      </c>
      <c r="AC78" s="89">
        <v>16.838</v>
      </c>
      <c r="AD78" s="89">
        <v>19.091</v>
      </c>
      <c r="AE78" s="89">
        <f>AD78*1.134</f>
        <v>21.649193999999998</v>
      </c>
      <c r="AF78" s="89">
        <f t="shared" si="57"/>
        <v>22.753302893999997</v>
      </c>
      <c r="AG78" s="89">
        <f t="shared" si="58"/>
        <v>23.822708130017997</v>
      </c>
      <c r="AH78" s="89">
        <f t="shared" si="59"/>
        <v>24.87090728773879</v>
      </c>
      <c r="AI78" s="127">
        <f aca="true" t="shared" si="75" ref="AI78:AN92">(AC78/W78)/12*1000000</f>
        <v>16905.622489959842</v>
      </c>
      <c r="AJ78" s="127">
        <f aca="true" t="shared" si="76" ref="AJ78:AN79">(AD78/X78)/12*1000000</f>
        <v>18286.39846743295</v>
      </c>
      <c r="AK78" s="127">
        <f t="shared" si="76"/>
        <v>20736.775862068964</v>
      </c>
      <c r="AL78" s="127">
        <f t="shared" si="76"/>
        <v>21794.35143103448</v>
      </c>
      <c r="AM78" s="127">
        <f t="shared" si="76"/>
        <v>22818.685948293103</v>
      </c>
      <c r="AN78" s="127">
        <f t="shared" si="76"/>
        <v>23822.708130017996</v>
      </c>
      <c r="AO78" s="82"/>
      <c r="AP78" s="82"/>
    </row>
    <row r="79" spans="1:42" ht="16.5">
      <c r="A79" s="86" t="s">
        <v>157</v>
      </c>
      <c r="B79" s="85">
        <v>28.8</v>
      </c>
      <c r="C79" s="85">
        <v>35.397</v>
      </c>
      <c r="D79" s="95">
        <f t="shared" si="61"/>
        <v>38.016378</v>
      </c>
      <c r="E79" s="95">
        <f t="shared" si="62"/>
        <v>40.145295168000004</v>
      </c>
      <c r="F79" s="95">
        <f t="shared" si="63"/>
        <v>40.145295168000004</v>
      </c>
      <c r="G79" s="95">
        <f t="shared" si="64"/>
        <v>42.594158173248005</v>
      </c>
      <c r="H79" s="95">
        <f t="shared" si="65"/>
        <v>43.649158173248004</v>
      </c>
      <c r="I79" s="85">
        <v>29</v>
      </c>
      <c r="J79" s="85">
        <v>35.397</v>
      </c>
      <c r="K79" s="95">
        <f t="shared" si="66"/>
        <v>38.016378</v>
      </c>
      <c r="L79" s="95">
        <f t="shared" si="67"/>
        <v>40.145295168000004</v>
      </c>
      <c r="M79" s="95">
        <f t="shared" si="68"/>
        <v>40.145295168000004</v>
      </c>
      <c r="N79" s="95">
        <f t="shared" si="69"/>
        <v>42.594158173248005</v>
      </c>
      <c r="O79" s="95">
        <f t="shared" si="70"/>
        <v>43.649158173248004</v>
      </c>
      <c r="P79" s="95">
        <v>0</v>
      </c>
      <c r="Q79" s="95">
        <v>0</v>
      </c>
      <c r="R79" s="136">
        <f t="shared" si="71"/>
        <v>0</v>
      </c>
      <c r="S79" s="136">
        <f t="shared" si="72"/>
        <v>0</v>
      </c>
      <c r="T79" s="136">
        <f t="shared" si="72"/>
        <v>0</v>
      </c>
      <c r="U79" s="136">
        <f t="shared" si="73"/>
        <v>0</v>
      </c>
      <c r="V79" s="136">
        <f t="shared" si="74"/>
        <v>0</v>
      </c>
      <c r="W79" s="85">
        <v>60</v>
      </c>
      <c r="X79" s="85">
        <v>63</v>
      </c>
      <c r="Y79" s="85">
        <v>63</v>
      </c>
      <c r="Z79" s="85">
        <v>63</v>
      </c>
      <c r="AA79" s="85">
        <v>63</v>
      </c>
      <c r="AB79" s="85">
        <v>63</v>
      </c>
      <c r="AC79" s="89">
        <v>12.161</v>
      </c>
      <c r="AD79" s="89">
        <v>15.21</v>
      </c>
      <c r="AE79" s="89">
        <f aca="true" t="shared" si="77" ref="AE79:AE88">AD79*1.134</f>
        <v>17.24814</v>
      </c>
      <c r="AF79" s="89">
        <f t="shared" si="57"/>
        <v>18.12779514</v>
      </c>
      <c r="AG79" s="89">
        <f t="shared" si="58"/>
        <v>18.97980151158</v>
      </c>
      <c r="AH79" s="89">
        <f t="shared" si="59"/>
        <v>19.81491277808952</v>
      </c>
      <c r="AI79" s="127">
        <f t="shared" si="75"/>
        <v>16890.277777777777</v>
      </c>
      <c r="AJ79" s="127">
        <f t="shared" si="76"/>
        <v>20119.04761904762</v>
      </c>
      <c r="AK79" s="127">
        <f t="shared" si="76"/>
        <v>22815</v>
      </c>
      <c r="AL79" s="127">
        <f t="shared" si="76"/>
        <v>23978.564999999995</v>
      </c>
      <c r="AM79" s="127">
        <f t="shared" si="76"/>
        <v>25105.557555000003</v>
      </c>
      <c r="AN79" s="127">
        <f t="shared" si="76"/>
        <v>26210.202087420002</v>
      </c>
      <c r="AO79" s="82"/>
      <c r="AP79" s="82"/>
    </row>
    <row r="80" spans="1:42" ht="16.5">
      <c r="A80" s="86" t="s">
        <v>158</v>
      </c>
      <c r="B80" s="85">
        <v>30.6</v>
      </c>
      <c r="C80" s="85">
        <v>31.824</v>
      </c>
      <c r="D80" s="95">
        <f t="shared" si="61"/>
        <v>34.178976000000006</v>
      </c>
      <c r="E80" s="95">
        <f t="shared" si="62"/>
        <v>36.092998656000006</v>
      </c>
      <c r="F80" s="95">
        <f t="shared" si="63"/>
        <v>36.092998656000006</v>
      </c>
      <c r="G80" s="95">
        <f t="shared" si="64"/>
        <v>38.29467157401601</v>
      </c>
      <c r="H80" s="95">
        <f t="shared" si="65"/>
        <v>39.34967157401601</v>
      </c>
      <c r="I80" s="85">
        <v>30.2</v>
      </c>
      <c r="J80" s="85">
        <v>31.928</v>
      </c>
      <c r="K80" s="95">
        <f t="shared" si="66"/>
        <v>34.290672</v>
      </c>
      <c r="L80" s="95">
        <f t="shared" si="67"/>
        <v>36.210949632</v>
      </c>
      <c r="M80" s="95">
        <f t="shared" si="68"/>
        <v>36.210949632</v>
      </c>
      <c r="N80" s="95">
        <f t="shared" si="69"/>
        <v>38.419817559552</v>
      </c>
      <c r="O80" s="95">
        <f t="shared" si="70"/>
        <v>39.474817559552</v>
      </c>
      <c r="P80" s="95">
        <v>2</v>
      </c>
      <c r="Q80" s="95">
        <v>0</v>
      </c>
      <c r="R80" s="136">
        <f t="shared" si="71"/>
        <v>0</v>
      </c>
      <c r="S80" s="136">
        <f t="shared" si="72"/>
        <v>0</v>
      </c>
      <c r="T80" s="136">
        <f t="shared" si="72"/>
        <v>0</v>
      </c>
      <c r="U80" s="136">
        <f t="shared" si="73"/>
        <v>0</v>
      </c>
      <c r="V80" s="136">
        <f t="shared" si="74"/>
        <v>0</v>
      </c>
      <c r="W80" s="85">
        <v>37</v>
      </c>
      <c r="X80" s="85">
        <v>35</v>
      </c>
      <c r="Y80" s="85">
        <v>35</v>
      </c>
      <c r="Z80" s="85">
        <v>35</v>
      </c>
      <c r="AA80" s="85">
        <v>35</v>
      </c>
      <c r="AB80" s="85">
        <v>35</v>
      </c>
      <c r="AC80" s="89">
        <v>6.361</v>
      </c>
      <c r="AD80" s="89">
        <v>6.12</v>
      </c>
      <c r="AE80" s="89">
        <f t="shared" si="77"/>
        <v>6.940079999999999</v>
      </c>
      <c r="AF80" s="89">
        <f t="shared" si="57"/>
        <v>7.294024079999999</v>
      </c>
      <c r="AG80" s="89">
        <f t="shared" si="58"/>
        <v>7.636843211759999</v>
      </c>
      <c r="AH80" s="89">
        <f t="shared" si="59"/>
        <v>7.972864313077439</v>
      </c>
      <c r="AI80" s="127">
        <f t="shared" si="75"/>
        <v>14326.576576576577</v>
      </c>
      <c r="AJ80" s="127">
        <f t="shared" si="75"/>
        <v>14571.42857142857</v>
      </c>
      <c r="AK80" s="127">
        <f aca="true" t="shared" si="78" ref="AK80:AN82">(AE80/Y80)/12*1000000</f>
        <v>16523.999999999996</v>
      </c>
      <c r="AL80" s="127">
        <f t="shared" si="78"/>
        <v>17366.724</v>
      </c>
      <c r="AM80" s="127">
        <f t="shared" si="78"/>
        <v>18182.960027999998</v>
      </c>
      <c r="AN80" s="127">
        <f t="shared" si="78"/>
        <v>18983.010269231996</v>
      </c>
      <c r="AO80" s="82"/>
      <c r="AP80" s="82"/>
    </row>
    <row r="81" spans="1:42" ht="16.5">
      <c r="A81" s="86" t="s">
        <v>159</v>
      </c>
      <c r="B81" s="85">
        <v>28.5</v>
      </c>
      <c r="C81" s="85">
        <v>28.163</v>
      </c>
      <c r="D81" s="95">
        <f t="shared" si="61"/>
        <v>30.247062000000003</v>
      </c>
      <c r="E81" s="95">
        <f t="shared" si="62"/>
        <v>31.940897472000003</v>
      </c>
      <c r="F81" s="95">
        <f t="shared" si="63"/>
        <v>31.940897472000003</v>
      </c>
      <c r="G81" s="95">
        <f t="shared" si="64"/>
        <v>33.889292217792004</v>
      </c>
      <c r="H81" s="95">
        <f t="shared" si="65"/>
        <v>34.944292217792004</v>
      </c>
      <c r="I81" s="85">
        <v>28.5</v>
      </c>
      <c r="J81" s="85">
        <v>28.163</v>
      </c>
      <c r="K81" s="95">
        <f t="shared" si="66"/>
        <v>30.247062000000003</v>
      </c>
      <c r="L81" s="95">
        <f t="shared" si="67"/>
        <v>31.940897472000003</v>
      </c>
      <c r="M81" s="95">
        <f t="shared" si="68"/>
        <v>31.940897472000003</v>
      </c>
      <c r="N81" s="95">
        <f t="shared" si="69"/>
        <v>33.889292217792004</v>
      </c>
      <c r="O81" s="95">
        <f t="shared" si="70"/>
        <v>34.944292217792004</v>
      </c>
      <c r="P81" s="95">
        <v>0</v>
      </c>
      <c r="Q81" s="95">
        <v>0</v>
      </c>
      <c r="R81" s="136">
        <f t="shared" si="71"/>
        <v>0</v>
      </c>
      <c r="S81" s="136">
        <f t="shared" si="72"/>
        <v>0</v>
      </c>
      <c r="T81" s="136">
        <f t="shared" si="72"/>
        <v>0</v>
      </c>
      <c r="U81" s="136">
        <f t="shared" si="73"/>
        <v>0</v>
      </c>
      <c r="V81" s="136">
        <f t="shared" si="74"/>
        <v>0</v>
      </c>
      <c r="W81" s="85">
        <v>46</v>
      </c>
      <c r="X81" s="85">
        <v>43</v>
      </c>
      <c r="Y81" s="85">
        <v>43</v>
      </c>
      <c r="Z81" s="85">
        <v>43</v>
      </c>
      <c r="AA81" s="85">
        <v>43</v>
      </c>
      <c r="AB81" s="85">
        <v>43</v>
      </c>
      <c r="AC81" s="89">
        <v>7.168</v>
      </c>
      <c r="AD81" s="89">
        <v>7.572</v>
      </c>
      <c r="AE81" s="89">
        <f>AD81*1.227</f>
        <v>9.290844</v>
      </c>
      <c r="AF81" s="89">
        <f t="shared" si="57"/>
        <v>9.764677043999999</v>
      </c>
      <c r="AG81" s="89">
        <f t="shared" si="58"/>
        <v>10.223616865067997</v>
      </c>
      <c r="AH81" s="89">
        <f t="shared" si="59"/>
        <v>10.673456007130989</v>
      </c>
      <c r="AI81" s="127">
        <f t="shared" si="75"/>
        <v>12985.507246376814</v>
      </c>
      <c r="AJ81" s="127">
        <f t="shared" si="75"/>
        <v>14674.418604651164</v>
      </c>
      <c r="AK81" s="127">
        <f t="shared" si="78"/>
        <v>18005.511627906973</v>
      </c>
      <c r="AL81" s="127">
        <f t="shared" si="78"/>
        <v>18923.79272093023</v>
      </c>
      <c r="AM81" s="127">
        <f t="shared" si="78"/>
        <v>19813.210978813946</v>
      </c>
      <c r="AN81" s="127">
        <f t="shared" si="78"/>
        <v>20684.99226188176</v>
      </c>
      <c r="AO81" s="82"/>
      <c r="AP81" s="82"/>
    </row>
    <row r="82" spans="1:42" ht="16.5">
      <c r="A82" s="86" t="s">
        <v>160</v>
      </c>
      <c r="B82" s="85">
        <v>27.7</v>
      </c>
      <c r="C82" s="85">
        <v>28.818</v>
      </c>
      <c r="D82" s="95">
        <f t="shared" si="61"/>
        <v>30.950532000000003</v>
      </c>
      <c r="E82" s="95">
        <f t="shared" si="62"/>
        <v>32.683761792000006</v>
      </c>
      <c r="F82" s="95">
        <f t="shared" si="63"/>
        <v>32.683761792000006</v>
      </c>
      <c r="G82" s="95">
        <f t="shared" si="64"/>
        <v>34.67747126131201</v>
      </c>
      <c r="H82" s="95">
        <f t="shared" si="65"/>
        <v>35.73247126131201</v>
      </c>
      <c r="I82" s="85">
        <v>27.7</v>
      </c>
      <c r="J82" s="85">
        <v>28.818</v>
      </c>
      <c r="K82" s="95">
        <f t="shared" si="66"/>
        <v>30.950532000000003</v>
      </c>
      <c r="L82" s="95">
        <f t="shared" si="67"/>
        <v>32.683761792000006</v>
      </c>
      <c r="M82" s="95">
        <f t="shared" si="68"/>
        <v>32.683761792000006</v>
      </c>
      <c r="N82" s="95">
        <f t="shared" si="69"/>
        <v>34.67747126131201</v>
      </c>
      <c r="O82" s="95">
        <f t="shared" si="70"/>
        <v>35.73247126131201</v>
      </c>
      <c r="P82" s="95">
        <v>0</v>
      </c>
      <c r="Q82" s="136">
        <v>3.108</v>
      </c>
      <c r="R82" s="136">
        <f t="shared" si="71"/>
        <v>3.3379920000000003</v>
      </c>
      <c r="S82" s="136">
        <f t="shared" si="72"/>
        <v>3.5249195520000005</v>
      </c>
      <c r="T82" s="136">
        <f t="shared" si="72"/>
        <v>3.7223150469120005</v>
      </c>
      <c r="U82" s="136">
        <f t="shared" si="73"/>
        <v>3.9493762647736324</v>
      </c>
      <c r="V82" s="136">
        <f t="shared" si="74"/>
        <v>4.1665919593361815</v>
      </c>
      <c r="W82" s="85">
        <v>56</v>
      </c>
      <c r="X82" s="85">
        <v>55</v>
      </c>
      <c r="Y82" s="85">
        <v>55</v>
      </c>
      <c r="Z82" s="85">
        <v>55</v>
      </c>
      <c r="AA82" s="85">
        <v>55</v>
      </c>
      <c r="AB82" s="85">
        <v>55</v>
      </c>
      <c r="AC82" s="89">
        <v>12.853</v>
      </c>
      <c r="AD82" s="89">
        <v>13.866</v>
      </c>
      <c r="AE82" s="89">
        <f t="shared" si="77"/>
        <v>15.724043999999997</v>
      </c>
      <c r="AF82" s="89">
        <f t="shared" si="57"/>
        <v>16.525970243999996</v>
      </c>
      <c r="AG82" s="89">
        <f t="shared" si="58"/>
        <v>17.302690845467996</v>
      </c>
      <c r="AH82" s="89">
        <f t="shared" si="59"/>
        <v>18.06400924266859</v>
      </c>
      <c r="AI82" s="127">
        <f t="shared" si="75"/>
        <v>19126.488095238095</v>
      </c>
      <c r="AJ82" s="127">
        <f t="shared" si="75"/>
        <v>21009.090909090908</v>
      </c>
      <c r="AK82" s="127">
        <f t="shared" si="78"/>
        <v>23824.309090909086</v>
      </c>
      <c r="AL82" s="127">
        <f t="shared" si="78"/>
        <v>25039.34885454545</v>
      </c>
      <c r="AM82" s="127">
        <f t="shared" si="78"/>
        <v>26216.198250709083</v>
      </c>
      <c r="AN82" s="127">
        <f t="shared" si="78"/>
        <v>27369.71097374029</v>
      </c>
      <c r="AO82" s="82"/>
      <c r="AP82" s="82"/>
    </row>
    <row r="83" spans="1:42" ht="16.5">
      <c r="A83" s="86" t="s">
        <v>161</v>
      </c>
      <c r="B83" s="85">
        <v>17.5</v>
      </c>
      <c r="C83" s="85">
        <v>26.817</v>
      </c>
      <c r="D83" s="95">
        <f t="shared" si="61"/>
        <v>28.801458</v>
      </c>
      <c r="E83" s="95">
        <f t="shared" si="62"/>
        <v>30.414339648000002</v>
      </c>
      <c r="F83" s="95">
        <f t="shared" si="63"/>
        <v>30.414339648000002</v>
      </c>
      <c r="G83" s="95">
        <f t="shared" si="64"/>
        <v>32.269614366528</v>
      </c>
      <c r="H83" s="95">
        <f t="shared" si="65"/>
        <v>33.324614366528</v>
      </c>
      <c r="I83" s="85">
        <v>17.5</v>
      </c>
      <c r="J83" s="85">
        <v>26.817</v>
      </c>
      <c r="K83" s="95">
        <f t="shared" si="66"/>
        <v>28.801458</v>
      </c>
      <c r="L83" s="95">
        <f t="shared" si="67"/>
        <v>30.414339648000002</v>
      </c>
      <c r="M83" s="95">
        <f t="shared" si="68"/>
        <v>30.414339648000002</v>
      </c>
      <c r="N83" s="95">
        <f t="shared" si="69"/>
        <v>32.269614366528</v>
      </c>
      <c r="O83" s="95">
        <f t="shared" si="70"/>
        <v>33.324614366528</v>
      </c>
      <c r="P83" s="95">
        <v>0</v>
      </c>
      <c r="Q83" s="95">
        <v>0</v>
      </c>
      <c r="R83" s="136">
        <f t="shared" si="71"/>
        <v>0</v>
      </c>
      <c r="S83" s="136">
        <f t="shared" si="72"/>
        <v>0</v>
      </c>
      <c r="T83" s="136">
        <f t="shared" si="72"/>
        <v>0</v>
      </c>
      <c r="U83" s="136">
        <f t="shared" si="73"/>
        <v>0</v>
      </c>
      <c r="V83" s="136">
        <f t="shared" si="74"/>
        <v>0</v>
      </c>
      <c r="W83" s="85">
        <v>35</v>
      </c>
      <c r="X83" s="85">
        <v>35</v>
      </c>
      <c r="Y83" s="85">
        <v>35</v>
      </c>
      <c r="Z83" s="85">
        <v>35</v>
      </c>
      <c r="AA83" s="85">
        <v>35</v>
      </c>
      <c r="AB83" s="85">
        <v>35</v>
      </c>
      <c r="AC83" s="89">
        <v>9.09</v>
      </c>
      <c r="AD83" s="89">
        <v>10.059</v>
      </c>
      <c r="AE83" s="89">
        <f t="shared" si="77"/>
        <v>11.406905999999998</v>
      </c>
      <c r="AF83" s="89">
        <f t="shared" si="57"/>
        <v>11.988658205999997</v>
      </c>
      <c r="AG83" s="89">
        <f t="shared" si="58"/>
        <v>12.552125141681996</v>
      </c>
      <c r="AH83" s="89">
        <f t="shared" si="59"/>
        <v>13.104418647916004</v>
      </c>
      <c r="AI83" s="127">
        <f t="shared" si="75"/>
        <v>21642.857142857145</v>
      </c>
      <c r="AJ83" s="127">
        <f t="shared" si="75"/>
        <v>23950</v>
      </c>
      <c r="AK83" s="127">
        <f t="shared" si="75"/>
        <v>27159.299999999996</v>
      </c>
      <c r="AL83" s="127">
        <f t="shared" si="75"/>
        <v>28544.42429999999</v>
      </c>
      <c r="AM83" s="127">
        <f t="shared" si="75"/>
        <v>29886.012242099994</v>
      </c>
      <c r="AN83" s="127">
        <f t="shared" si="75"/>
        <v>31200.99678075239</v>
      </c>
      <c r="AO83" s="82"/>
      <c r="AP83" s="82"/>
    </row>
    <row r="84" spans="1:42" ht="16.5">
      <c r="A84" s="86" t="s">
        <v>162</v>
      </c>
      <c r="B84" s="85">
        <v>28.1</v>
      </c>
      <c r="C84" s="85">
        <v>29.646</v>
      </c>
      <c r="D84" s="95">
        <f t="shared" si="61"/>
        <v>31.839804000000004</v>
      </c>
      <c r="E84" s="95">
        <f t="shared" si="62"/>
        <v>33.62283302400001</v>
      </c>
      <c r="F84" s="95">
        <f t="shared" si="63"/>
        <v>33.62283302400001</v>
      </c>
      <c r="G84" s="95">
        <f t="shared" si="64"/>
        <v>35.673825838464005</v>
      </c>
      <c r="H84" s="95">
        <f t="shared" si="65"/>
        <v>36.728825838464005</v>
      </c>
      <c r="I84" s="85">
        <v>28</v>
      </c>
      <c r="J84" s="85">
        <v>29.646</v>
      </c>
      <c r="K84" s="95">
        <f t="shared" si="66"/>
        <v>31.839804000000004</v>
      </c>
      <c r="L84" s="95">
        <f t="shared" si="67"/>
        <v>33.62283302400001</v>
      </c>
      <c r="M84" s="95">
        <f t="shared" si="68"/>
        <v>33.62283302400001</v>
      </c>
      <c r="N84" s="95">
        <f t="shared" si="69"/>
        <v>35.673825838464005</v>
      </c>
      <c r="O84" s="95">
        <f t="shared" si="70"/>
        <v>36.728825838464005</v>
      </c>
      <c r="P84" s="95">
        <v>0</v>
      </c>
      <c r="Q84" s="95">
        <v>0</v>
      </c>
      <c r="R84" s="136">
        <f t="shared" si="71"/>
        <v>0</v>
      </c>
      <c r="S84" s="136">
        <f t="shared" si="72"/>
        <v>0</v>
      </c>
      <c r="T84" s="136">
        <f t="shared" si="72"/>
        <v>0</v>
      </c>
      <c r="U84" s="136">
        <f t="shared" si="73"/>
        <v>0</v>
      </c>
      <c r="V84" s="136">
        <f t="shared" si="74"/>
        <v>0</v>
      </c>
      <c r="W84" s="85">
        <v>76</v>
      </c>
      <c r="X84" s="85">
        <v>73</v>
      </c>
      <c r="Y84" s="85">
        <v>73</v>
      </c>
      <c r="Z84" s="85">
        <v>73</v>
      </c>
      <c r="AA84" s="85">
        <v>73</v>
      </c>
      <c r="AB84" s="85">
        <v>73</v>
      </c>
      <c r="AC84" s="89">
        <v>13.516</v>
      </c>
      <c r="AD84" s="89">
        <v>13.923</v>
      </c>
      <c r="AE84" s="89">
        <f>AD84*1.227</f>
        <v>17.083521</v>
      </c>
      <c r="AF84" s="89">
        <f t="shared" si="57"/>
        <v>17.954780571</v>
      </c>
      <c r="AG84" s="89">
        <f t="shared" si="58"/>
        <v>18.798655257836998</v>
      </c>
      <c r="AH84" s="89">
        <f t="shared" si="59"/>
        <v>19.625796089181826</v>
      </c>
      <c r="AI84" s="127">
        <f t="shared" si="75"/>
        <v>14820.17543859649</v>
      </c>
      <c r="AJ84" s="127">
        <f t="shared" si="75"/>
        <v>15893.835616438357</v>
      </c>
      <c r="AK84" s="127">
        <f t="shared" si="75"/>
        <v>19501.736301369867</v>
      </c>
      <c r="AL84" s="127">
        <f t="shared" si="75"/>
        <v>20496.324852739726</v>
      </c>
      <c r="AM84" s="127">
        <f t="shared" si="75"/>
        <v>21459.65212081849</v>
      </c>
      <c r="AN84" s="127">
        <f t="shared" si="75"/>
        <v>22403.876814134503</v>
      </c>
      <c r="AO84" s="82"/>
      <c r="AP84" s="82"/>
    </row>
    <row r="85" spans="1:42" ht="16.5">
      <c r="A85" s="86" t="s">
        <v>163</v>
      </c>
      <c r="B85" s="85">
        <v>30.1</v>
      </c>
      <c r="C85" s="85">
        <v>28.884</v>
      </c>
      <c r="D85" s="95">
        <f t="shared" si="61"/>
        <v>31.021416000000002</v>
      </c>
      <c r="E85" s="95">
        <f t="shared" si="62"/>
        <v>32.758615296</v>
      </c>
      <c r="F85" s="95">
        <f t="shared" si="63"/>
        <v>32.758615296</v>
      </c>
      <c r="G85" s="95">
        <f t="shared" si="64"/>
        <v>34.756890829056</v>
      </c>
      <c r="H85" s="95">
        <f t="shared" si="65"/>
        <v>35.811890829056</v>
      </c>
      <c r="I85" s="85">
        <v>29.7</v>
      </c>
      <c r="J85" s="85">
        <v>30.143</v>
      </c>
      <c r="K85" s="95">
        <f t="shared" si="66"/>
        <v>32.373582000000006</v>
      </c>
      <c r="L85" s="95">
        <f t="shared" si="67"/>
        <v>34.18650259200001</v>
      </c>
      <c r="M85" s="95">
        <f t="shared" si="68"/>
        <v>34.18650259200001</v>
      </c>
      <c r="N85" s="95">
        <f t="shared" si="69"/>
        <v>36.27187925011201</v>
      </c>
      <c r="O85" s="95">
        <f t="shared" si="70"/>
        <v>37.32687925011201</v>
      </c>
      <c r="P85" s="95">
        <v>0</v>
      </c>
      <c r="Q85" s="95">
        <v>0</v>
      </c>
      <c r="R85" s="136">
        <f t="shared" si="71"/>
        <v>0</v>
      </c>
      <c r="S85" s="136">
        <f t="shared" si="72"/>
        <v>0</v>
      </c>
      <c r="T85" s="136">
        <f t="shared" si="72"/>
        <v>0</v>
      </c>
      <c r="U85" s="136">
        <f t="shared" si="73"/>
        <v>0</v>
      </c>
      <c r="V85" s="136">
        <f t="shared" si="74"/>
        <v>0</v>
      </c>
      <c r="W85" s="85">
        <v>50</v>
      </c>
      <c r="X85" s="85">
        <v>55</v>
      </c>
      <c r="Y85" s="85">
        <v>55</v>
      </c>
      <c r="Z85" s="85">
        <v>55</v>
      </c>
      <c r="AA85" s="85">
        <v>55</v>
      </c>
      <c r="AB85" s="85">
        <v>55</v>
      </c>
      <c r="AC85" s="89">
        <v>9.24</v>
      </c>
      <c r="AD85" s="89">
        <v>10.372</v>
      </c>
      <c r="AE85" s="89">
        <f t="shared" si="77"/>
        <v>11.761847999999999</v>
      </c>
      <c r="AF85" s="89">
        <f t="shared" si="57"/>
        <v>12.361702247999999</v>
      </c>
      <c r="AG85" s="89">
        <f t="shared" si="58"/>
        <v>12.942702253655998</v>
      </c>
      <c r="AH85" s="89">
        <f t="shared" si="59"/>
        <v>13.512181152816863</v>
      </c>
      <c r="AI85" s="127">
        <f t="shared" si="75"/>
        <v>15399.999999999998</v>
      </c>
      <c r="AJ85" s="127">
        <f t="shared" si="75"/>
        <v>15715.151515151516</v>
      </c>
      <c r="AK85" s="127">
        <f t="shared" si="75"/>
        <v>17820.981818181815</v>
      </c>
      <c r="AL85" s="127">
        <f t="shared" si="75"/>
        <v>18729.85189090909</v>
      </c>
      <c r="AM85" s="127">
        <f t="shared" si="75"/>
        <v>19610.154929781816</v>
      </c>
      <c r="AN85" s="127">
        <f t="shared" si="75"/>
        <v>20473.001746692215</v>
      </c>
      <c r="AO85" s="82"/>
      <c r="AP85" s="82"/>
    </row>
    <row r="86" spans="1:42" ht="16.5">
      <c r="A86" s="86" t="s">
        <v>164</v>
      </c>
      <c r="B86" s="85">
        <v>80.8</v>
      </c>
      <c r="C86" s="85">
        <v>92.21</v>
      </c>
      <c r="D86" s="136">
        <f>C86*100%*107.5%</f>
        <v>99.12574999999998</v>
      </c>
      <c r="E86" s="136">
        <f>D86*100%*105.9%</f>
        <v>104.97416925</v>
      </c>
      <c r="F86" s="136">
        <f>D86*100%*105.8%</f>
        <v>104.87504349999999</v>
      </c>
      <c r="G86" s="136">
        <f>F86*100%*105.9%</f>
        <v>111.0626710665</v>
      </c>
      <c r="H86" s="136">
        <f>G86*100%*105.7%</f>
        <v>117.3932433172905</v>
      </c>
      <c r="I86" s="85">
        <v>80.8</v>
      </c>
      <c r="J86" s="85">
        <v>92.21</v>
      </c>
      <c r="K86" s="136">
        <f>J86*100%*107.5%</f>
        <v>99.12574999999998</v>
      </c>
      <c r="L86" s="136">
        <f>K86*100%*105.9%</f>
        <v>104.97416925</v>
      </c>
      <c r="M86" s="136">
        <f>K86*100%*105.8%</f>
        <v>104.87504349999999</v>
      </c>
      <c r="N86" s="136">
        <f>M86*100%*105.9%</f>
        <v>111.0626710665</v>
      </c>
      <c r="O86" s="136">
        <f>N86*100%*105.7%</f>
        <v>117.3932433172905</v>
      </c>
      <c r="P86" s="95">
        <v>0</v>
      </c>
      <c r="Q86" s="95">
        <v>0</v>
      </c>
      <c r="R86" s="136">
        <f>Q86*107.5%</f>
        <v>0</v>
      </c>
      <c r="S86" s="136">
        <f>R86*105.9%</f>
        <v>0</v>
      </c>
      <c r="T86" s="136">
        <f>R86*105.8%</f>
        <v>0</v>
      </c>
      <c r="U86" s="136">
        <f>T86*105.9%</f>
        <v>0</v>
      </c>
      <c r="V86" s="136">
        <f>U86*105.7%</f>
        <v>0</v>
      </c>
      <c r="W86" s="85">
        <v>255</v>
      </c>
      <c r="X86" s="85">
        <v>245</v>
      </c>
      <c r="Y86" s="85">
        <v>245</v>
      </c>
      <c r="Z86" s="85">
        <v>245</v>
      </c>
      <c r="AA86" s="85">
        <v>245</v>
      </c>
      <c r="AB86" s="85">
        <v>245</v>
      </c>
      <c r="AC86" s="89">
        <v>54.646</v>
      </c>
      <c r="AD86" s="89">
        <v>64.371</v>
      </c>
      <c r="AE86" s="89">
        <f t="shared" si="77"/>
        <v>72.99671399999998</v>
      </c>
      <c r="AF86" s="89">
        <f t="shared" si="57"/>
        <v>76.71954641399998</v>
      </c>
      <c r="AG86" s="89">
        <f t="shared" si="58"/>
        <v>80.32536509545797</v>
      </c>
      <c r="AH86" s="89">
        <f t="shared" si="59"/>
        <v>83.85968115965812</v>
      </c>
      <c r="AI86" s="127">
        <f t="shared" si="75"/>
        <v>17858.169934640522</v>
      </c>
      <c r="AJ86" s="127">
        <f t="shared" si="75"/>
        <v>21894.897959183672</v>
      </c>
      <c r="AK86" s="127">
        <f t="shared" si="75"/>
        <v>24828.81428571428</v>
      </c>
      <c r="AL86" s="127">
        <f t="shared" si="75"/>
        <v>26095.08381428571</v>
      </c>
      <c r="AM86" s="127">
        <f t="shared" si="75"/>
        <v>27321.55275355713</v>
      </c>
      <c r="AN86" s="127">
        <f t="shared" si="75"/>
        <v>28523.70107471365</v>
      </c>
      <c r="AO86" s="82"/>
      <c r="AP86" s="82"/>
    </row>
    <row r="87" spans="1:42" ht="16.5" hidden="1">
      <c r="A87" s="86" t="s">
        <v>165</v>
      </c>
      <c r="B87" s="85">
        <v>13.5</v>
      </c>
      <c r="C87" s="85"/>
      <c r="D87" s="85"/>
      <c r="E87" s="85"/>
      <c r="F87" s="85"/>
      <c r="G87" s="85"/>
      <c r="H87" s="85"/>
      <c r="I87" s="85">
        <v>13.5</v>
      </c>
      <c r="J87" s="85"/>
      <c r="K87" s="85"/>
      <c r="L87" s="85"/>
      <c r="M87" s="85"/>
      <c r="N87" s="85"/>
      <c r="O87" s="85"/>
      <c r="P87" s="95">
        <v>0</v>
      </c>
      <c r="Q87" s="95"/>
      <c r="R87" s="95"/>
      <c r="S87" s="95"/>
      <c r="T87" s="95"/>
      <c r="U87" s="95"/>
      <c r="V87" s="95"/>
      <c r="W87" s="85">
        <v>36</v>
      </c>
      <c r="X87" s="85"/>
      <c r="Y87" s="85"/>
      <c r="Z87" s="85"/>
      <c r="AA87" s="85"/>
      <c r="AB87" s="85"/>
      <c r="AC87" s="89">
        <v>7.26</v>
      </c>
      <c r="AD87" s="89"/>
      <c r="AE87" s="89">
        <f t="shared" si="77"/>
        <v>0</v>
      </c>
      <c r="AF87" s="89">
        <f t="shared" si="57"/>
        <v>0</v>
      </c>
      <c r="AG87" s="89">
        <f t="shared" si="58"/>
        <v>0</v>
      </c>
      <c r="AH87" s="89">
        <f t="shared" si="59"/>
        <v>0</v>
      </c>
      <c r="AI87" s="127">
        <f t="shared" si="75"/>
        <v>16805.555555555555</v>
      </c>
      <c r="AJ87" s="127"/>
      <c r="AK87" s="127"/>
      <c r="AL87" s="127"/>
      <c r="AM87" s="127"/>
      <c r="AN87" s="127"/>
      <c r="AO87" s="82"/>
      <c r="AP87" s="82"/>
    </row>
    <row r="88" spans="1:42" ht="16.5">
      <c r="A88" s="86" t="s">
        <v>165</v>
      </c>
      <c r="B88" s="85">
        <v>13.2</v>
      </c>
      <c r="C88" s="85">
        <v>14.448</v>
      </c>
      <c r="D88" s="95">
        <f>C88*100%*107.4%</f>
        <v>15.517152000000001</v>
      </c>
      <c r="E88" s="95">
        <f>D88*100%*105.6%</f>
        <v>16.386112512</v>
      </c>
      <c r="F88" s="95">
        <f>D88*100%*105.6%</f>
        <v>16.386112512</v>
      </c>
      <c r="G88" s="95">
        <f>F88*100%*106.1%</f>
        <v>17.385665375231998</v>
      </c>
      <c r="H88" s="95">
        <f>G88+100%*105.5%</f>
        <v>18.440665375231998</v>
      </c>
      <c r="I88" s="85">
        <v>13.2</v>
      </c>
      <c r="J88" s="85">
        <v>14.448</v>
      </c>
      <c r="K88" s="95">
        <f>J88*100%*107.4%</f>
        <v>15.517152000000001</v>
      </c>
      <c r="L88" s="95">
        <f>K88*100%*105.6%</f>
        <v>16.386112512</v>
      </c>
      <c r="M88" s="95">
        <f>K88*100%*105.6%</f>
        <v>16.386112512</v>
      </c>
      <c r="N88" s="95">
        <f>M88*100%*106.1%</f>
        <v>17.385665375231998</v>
      </c>
      <c r="O88" s="95">
        <f>N88+100%*105.5%</f>
        <v>18.440665375231998</v>
      </c>
      <c r="P88" s="95">
        <v>0</v>
      </c>
      <c r="Q88" s="95">
        <v>0</v>
      </c>
      <c r="R88" s="136">
        <f>Q88*107.4%</f>
        <v>0</v>
      </c>
      <c r="S88" s="136">
        <f>R88*105.6%</f>
        <v>0</v>
      </c>
      <c r="T88" s="136">
        <f>S88*105.6%</f>
        <v>0</v>
      </c>
      <c r="U88" s="136">
        <f>T88*106.1%</f>
        <v>0</v>
      </c>
      <c r="V88" s="136">
        <f>U88*105.5%</f>
        <v>0</v>
      </c>
      <c r="W88" s="85">
        <v>36</v>
      </c>
      <c r="X88" s="85">
        <v>35</v>
      </c>
      <c r="Y88" s="85">
        <v>35</v>
      </c>
      <c r="Z88" s="85">
        <v>35</v>
      </c>
      <c r="AA88" s="85">
        <v>35</v>
      </c>
      <c r="AB88" s="85">
        <v>35</v>
      </c>
      <c r="AC88" s="89">
        <v>7.177</v>
      </c>
      <c r="AD88" s="89">
        <v>8.387</v>
      </c>
      <c r="AE88" s="89">
        <f t="shared" si="77"/>
        <v>9.510857999999999</v>
      </c>
      <c r="AF88" s="89">
        <f t="shared" si="57"/>
        <v>9.995911757999998</v>
      </c>
      <c r="AG88" s="89">
        <f t="shared" si="58"/>
        <v>10.465719610625998</v>
      </c>
      <c r="AH88" s="89">
        <f t="shared" si="59"/>
        <v>10.926211273493543</v>
      </c>
      <c r="AI88" s="127">
        <f t="shared" si="75"/>
        <v>16613.425925925923</v>
      </c>
      <c r="AJ88" s="127">
        <f t="shared" si="75"/>
        <v>19969.04761904762</v>
      </c>
      <c r="AK88" s="127">
        <f>(AE88/Y88)/12*1000000</f>
        <v>22644.899999999994</v>
      </c>
      <c r="AL88" s="127">
        <f>(AF88/Z88)/12*1000000</f>
        <v>23799.789899999996</v>
      </c>
      <c r="AM88" s="127">
        <f>(AG88/AA88)/12*1000000</f>
        <v>24918.38002529999</v>
      </c>
      <c r="AN88" s="127">
        <f>(AH88/AB88)/12*1000000</f>
        <v>26014.788746413196</v>
      </c>
      <c r="AO88" s="82"/>
      <c r="AP88" s="82"/>
    </row>
    <row r="89" spans="1:42" ht="33" hidden="1">
      <c r="A89" s="86" t="s">
        <v>167</v>
      </c>
      <c r="B89" s="85">
        <v>0</v>
      </c>
      <c r="C89" s="85"/>
      <c r="D89" s="85"/>
      <c r="E89" s="85"/>
      <c r="F89" s="85"/>
      <c r="G89" s="85"/>
      <c r="H89" s="85"/>
      <c r="I89" s="85">
        <v>0</v>
      </c>
      <c r="J89" s="85"/>
      <c r="K89" s="85"/>
      <c r="L89" s="85"/>
      <c r="M89" s="85"/>
      <c r="N89" s="85"/>
      <c r="O89" s="85"/>
      <c r="P89" s="95">
        <v>0</v>
      </c>
      <c r="Q89" s="95"/>
      <c r="R89" s="85"/>
      <c r="S89" s="85"/>
      <c r="T89" s="85"/>
      <c r="U89" s="85"/>
      <c r="V89" s="85"/>
      <c r="W89" s="85">
        <v>0</v>
      </c>
      <c r="X89" s="85"/>
      <c r="Y89" s="85"/>
      <c r="Z89" s="85"/>
      <c r="AA89" s="85"/>
      <c r="AB89" s="85"/>
      <c r="AC89" s="89">
        <v>0</v>
      </c>
      <c r="AD89" s="89"/>
      <c r="AE89" s="89"/>
      <c r="AF89" s="89">
        <f t="shared" si="57"/>
        <v>0</v>
      </c>
      <c r="AG89" s="89">
        <f t="shared" si="58"/>
        <v>0</v>
      </c>
      <c r="AH89" s="89">
        <f t="shared" si="59"/>
        <v>0</v>
      </c>
      <c r="AI89" s="127" t="e">
        <f t="shared" si="75"/>
        <v>#DIV/0!</v>
      </c>
      <c r="AJ89" s="127"/>
      <c r="AK89" s="127"/>
      <c r="AL89" s="127"/>
      <c r="AM89" s="127"/>
      <c r="AN89" s="127"/>
      <c r="AO89" s="82"/>
      <c r="AP89" s="82"/>
    </row>
    <row r="90" spans="1:42" ht="16.5">
      <c r="A90" s="86" t="s">
        <v>133</v>
      </c>
      <c r="B90" s="85">
        <v>15.2</v>
      </c>
      <c r="C90" s="85">
        <v>14.157</v>
      </c>
      <c r="D90" s="136">
        <f>C90*100%*107.5%</f>
        <v>15.218774999999999</v>
      </c>
      <c r="E90" s="136">
        <f>D90*100%*105.9%</f>
        <v>16.116682725</v>
      </c>
      <c r="F90" s="136">
        <f>D90*100%*105.8%</f>
        <v>16.10146395</v>
      </c>
      <c r="G90" s="136">
        <f>F90*100%*105.9%</f>
        <v>17.051450323050002</v>
      </c>
      <c r="H90" s="136">
        <f>G90*100%*105.7%</f>
        <v>18.02338299146385</v>
      </c>
      <c r="I90" s="85">
        <v>15.2</v>
      </c>
      <c r="J90" s="85">
        <v>14.157</v>
      </c>
      <c r="K90" s="136">
        <f>J90*100%*107.5%</f>
        <v>15.218774999999999</v>
      </c>
      <c r="L90" s="136">
        <f>K90*100%*105.9%</f>
        <v>16.116682725</v>
      </c>
      <c r="M90" s="136">
        <f>K90*100%*105.8%</f>
        <v>16.10146395</v>
      </c>
      <c r="N90" s="136">
        <f>M90*100%*105.9%</f>
        <v>17.051450323050002</v>
      </c>
      <c r="O90" s="136">
        <f>N90*100%*105.7%</f>
        <v>18.02338299146385</v>
      </c>
      <c r="P90" s="95">
        <v>0</v>
      </c>
      <c r="Q90" s="136">
        <v>0.359</v>
      </c>
      <c r="R90" s="136">
        <f>Q90*107.5%</f>
        <v>0.38592499999999996</v>
      </c>
      <c r="S90" s="136">
        <f>R90*105.9%</f>
        <v>0.408694575</v>
      </c>
      <c r="T90" s="136">
        <f>R90*105.8%</f>
        <v>0.40830865</v>
      </c>
      <c r="U90" s="136">
        <f>T90*105.9%</f>
        <v>0.4323988603500001</v>
      </c>
      <c r="V90" s="136">
        <f>U90*105.7%</f>
        <v>0.45704559538995004</v>
      </c>
      <c r="W90" s="85">
        <v>1</v>
      </c>
      <c r="X90" s="85">
        <v>0</v>
      </c>
      <c r="Y90" s="85">
        <v>0</v>
      </c>
      <c r="Z90" s="85">
        <v>0</v>
      </c>
      <c r="AA90" s="85">
        <v>0</v>
      </c>
      <c r="AB90" s="85">
        <v>0</v>
      </c>
      <c r="AC90" s="89">
        <v>0.531</v>
      </c>
      <c r="AD90" s="89">
        <v>0</v>
      </c>
      <c r="AE90" s="89">
        <v>0</v>
      </c>
      <c r="AF90" s="89">
        <f t="shared" si="57"/>
        <v>0</v>
      </c>
      <c r="AG90" s="89">
        <f t="shared" si="58"/>
        <v>0</v>
      </c>
      <c r="AH90" s="89">
        <f t="shared" si="59"/>
        <v>0</v>
      </c>
      <c r="AI90" s="127">
        <f t="shared" si="75"/>
        <v>44250.00000000001</v>
      </c>
      <c r="AJ90" s="127">
        <v>0</v>
      </c>
      <c r="AK90" s="127">
        <v>0</v>
      </c>
      <c r="AL90" s="127">
        <v>0</v>
      </c>
      <c r="AM90" s="127">
        <v>0</v>
      </c>
      <c r="AN90" s="127">
        <v>0</v>
      </c>
      <c r="AO90" s="82"/>
      <c r="AP90" s="82"/>
    </row>
    <row r="91" spans="1:42" ht="16.5">
      <c r="A91" s="86" t="s">
        <v>166</v>
      </c>
      <c r="B91" s="95">
        <v>183.5</v>
      </c>
      <c r="C91" s="95">
        <v>174.065</v>
      </c>
      <c r="D91" s="136">
        <f>C91*100%*107.5%</f>
        <v>187.11987499999998</v>
      </c>
      <c r="E91" s="136">
        <f>D91*100%*105.9%</f>
        <v>198.159947625</v>
      </c>
      <c r="F91" s="136">
        <f>D91*100%*105.8%</f>
        <v>197.97282775</v>
      </c>
      <c r="G91" s="136">
        <f>F91*100%*105.9%</f>
        <v>209.65322458725004</v>
      </c>
      <c r="H91" s="136">
        <f>G91*100%*105.7%</f>
        <v>221.60345838872328</v>
      </c>
      <c r="I91" s="95">
        <v>310.6</v>
      </c>
      <c r="J91" s="89">
        <v>195.53</v>
      </c>
      <c r="K91" s="136">
        <f>J91*100%*107.5%</f>
        <v>210.19475</v>
      </c>
      <c r="L91" s="136">
        <f>K91*100%*105.9%</f>
        <v>222.59624025000002</v>
      </c>
      <c r="M91" s="136">
        <f>K91*100%*105.8%</f>
        <v>222.38604550000002</v>
      </c>
      <c r="N91" s="136">
        <f>M91*100%*105.9%</f>
        <v>235.50682218450007</v>
      </c>
      <c r="O91" s="136">
        <f>N91*100%*105.7%</f>
        <v>248.93071104901657</v>
      </c>
      <c r="P91" s="95">
        <v>1.8</v>
      </c>
      <c r="Q91" s="136">
        <v>3.75</v>
      </c>
      <c r="R91" s="136">
        <f>Q91*107.5%</f>
        <v>4.03125</v>
      </c>
      <c r="S91" s="136">
        <f>R91*105.9%</f>
        <v>4.269093750000001</v>
      </c>
      <c r="T91" s="136">
        <f>R91*105.8%</f>
        <v>4.2650625</v>
      </c>
      <c r="U91" s="136">
        <f>T91*105.9%</f>
        <v>4.516701187500001</v>
      </c>
      <c r="V91" s="136">
        <f>U91*105.7%</f>
        <v>4.7741531551875</v>
      </c>
      <c r="W91" s="85">
        <v>5346</v>
      </c>
      <c r="X91" s="85">
        <v>5448</v>
      </c>
      <c r="Y91" s="85">
        <v>5446</v>
      </c>
      <c r="Z91" s="85">
        <v>5572</v>
      </c>
      <c r="AA91" s="85">
        <v>5562</v>
      </c>
      <c r="AB91" s="85">
        <v>5562</v>
      </c>
      <c r="AC91" s="89">
        <v>1378.455</v>
      </c>
      <c r="AD91" s="89">
        <v>1442</v>
      </c>
      <c r="AE91" s="89">
        <v>1574</v>
      </c>
      <c r="AF91" s="89">
        <v>1771</v>
      </c>
      <c r="AG91" s="89">
        <f>AF91*1.15</f>
        <v>2036.6499999999999</v>
      </c>
      <c r="AH91" s="89">
        <f>AG91*1.2</f>
        <v>2443.9799999999996</v>
      </c>
      <c r="AI91" s="127">
        <f t="shared" si="75"/>
        <v>21487.32697343808</v>
      </c>
      <c r="AJ91" s="216">
        <f t="shared" si="75"/>
        <v>22057.02398433676</v>
      </c>
      <c r="AK91" s="216">
        <f t="shared" si="75"/>
        <v>24084.95531888848</v>
      </c>
      <c r="AL91" s="216">
        <f t="shared" si="75"/>
        <v>26486.599664991627</v>
      </c>
      <c r="AM91" s="216">
        <f t="shared" si="75"/>
        <v>30514.353350113866</v>
      </c>
      <c r="AN91" s="216">
        <f t="shared" si="75"/>
        <v>36617.22402013664</v>
      </c>
      <c r="AO91" s="82"/>
      <c r="AP91" s="82"/>
    </row>
    <row r="92" spans="1:42" ht="66">
      <c r="A92" s="86" t="s">
        <v>326</v>
      </c>
      <c r="B92" s="124">
        <v>54</v>
      </c>
      <c r="C92" s="124"/>
      <c r="D92" s="124"/>
      <c r="E92" s="124"/>
      <c r="F92" s="124"/>
      <c r="G92" s="124"/>
      <c r="H92" s="124"/>
      <c r="I92" s="124">
        <v>255.3</v>
      </c>
      <c r="J92" s="124"/>
      <c r="K92" s="124"/>
      <c r="L92" s="124"/>
      <c r="M92" s="124"/>
      <c r="N92" s="124"/>
      <c r="O92" s="124"/>
      <c r="P92" s="124"/>
      <c r="Q92" s="124"/>
      <c r="R92" s="124"/>
      <c r="S92" s="124"/>
      <c r="T92" s="124"/>
      <c r="U92" s="124"/>
      <c r="V92" s="124"/>
      <c r="W92" s="85">
        <v>5067</v>
      </c>
      <c r="X92" s="220">
        <v>5085</v>
      </c>
      <c r="Y92" s="85">
        <v>4956</v>
      </c>
      <c r="Z92" s="85">
        <v>5036</v>
      </c>
      <c r="AA92" s="85">
        <v>5036</v>
      </c>
      <c r="AB92" s="85">
        <v>5036</v>
      </c>
      <c r="AC92" s="89">
        <v>1171.83</v>
      </c>
      <c r="AD92" s="89">
        <v>1413.37</v>
      </c>
      <c r="AE92" s="89">
        <v>1487.5</v>
      </c>
      <c r="AF92" s="89">
        <v>1662.6</v>
      </c>
      <c r="AG92" s="89">
        <f>AF92*1.15</f>
        <v>1911.9899999999998</v>
      </c>
      <c r="AH92" s="89">
        <f>AG92*1.2</f>
        <v>2294.3879999999995</v>
      </c>
      <c r="AI92" s="127">
        <f>(AC92/W92)/12*1000000</f>
        <v>19272.25182553779</v>
      </c>
      <c r="AJ92" s="127">
        <f t="shared" si="75"/>
        <v>23162.40576860046</v>
      </c>
      <c r="AK92" s="127">
        <f>(AE92/Y92)/12*1000000</f>
        <v>25011.770244821095</v>
      </c>
      <c r="AL92" s="127">
        <f t="shared" si="75"/>
        <v>27511.91421763304</v>
      </c>
      <c r="AM92" s="127">
        <f t="shared" si="75"/>
        <v>31638.701350278</v>
      </c>
      <c r="AN92" s="127">
        <f t="shared" si="75"/>
        <v>37966.441620333586</v>
      </c>
      <c r="AO92" s="82"/>
      <c r="AP92" s="82"/>
    </row>
    <row r="93" spans="1:42" ht="35.25" customHeight="1">
      <c r="A93" s="144" t="s">
        <v>102</v>
      </c>
      <c r="B93" s="115">
        <f>B15+B21+B33+B48+B49+B51+B55+B56+B66+B67+B68+B69+B78+B79+B80+B81+B82+B83+B84+B85+B88+B23+B50+B92</f>
        <v>778.989</v>
      </c>
      <c r="C93" s="115">
        <f>C15+C21+C33+C48+C49+C55+C56+C66+C67+C68+C69+C78+C79+C80+C81+C82+C83+C84+C85+C88+C23+C50+C52</f>
        <v>961.8910000000001</v>
      </c>
      <c r="D93" s="115">
        <f>D15+D21+D33+D48+D49+D55+D56+D66+D67+D68+D69+D78+D79+D80+D81+D82+D83+D84+D85+D88+D23+D50+D52</f>
        <v>1142.216059365</v>
      </c>
      <c r="E93" s="115">
        <f>E15+E21+E33+E48+E49+E55+E56+E66+E67+E68+E69+E78+E79+E80+E81+E82+E83+E84+E85+E88+E23+E50+E52+E72</f>
        <v>1114.9495391303974</v>
      </c>
      <c r="F93" s="115">
        <f>F15+F21+F33+F48+F49+F55+F56+F66+F67+F68+F69+F78+F79+F80+F81+F82+F83+F84+F85+F88+F23+F50+F52+F72</f>
        <v>1114.8060187282226</v>
      </c>
      <c r="G93" s="115">
        <f>G15+G21+G33+G48+G49+G55+G56+G66+G67+G68+G69+G78+G79+G80+G81+G82+G83+G84+G85+G88+G23+G50+G52+G72</f>
        <v>1162.1558548578516</v>
      </c>
      <c r="H93" s="115">
        <f>H15+H21+H33+H48+H49+H55+H56+H66+H67+H68+H69+H78+H79+H80+H81+H82+H83+H84+H85+H88+H23+H50+H52+H72</f>
        <v>1206.521379601123</v>
      </c>
      <c r="I93" s="115">
        <f>I15+I21+I33+I48+I49+I51+I55+I56+I66+I67+I68+I69+I78+I79+I80+I81+I82+I83+I84+I85+I88+I92</f>
        <v>934.989</v>
      </c>
      <c r="J93" s="115">
        <f>J15+J21+J33+J48+J49+J55+J56+J66+J67+J68+J69+J78+J79+J80+J81+J82+J83+J84+J85+J88+J23+J50+J52</f>
        <v>1117.4679999999998</v>
      </c>
      <c r="K93" s="115">
        <f>K15+K21+K33+K48+K49+K55+K56+K66+K67+K68+K69+K78+K79+K80+K81+K82+K83+K84+K85+K88+K23+K50+K52</f>
        <v>1309.248698185</v>
      </c>
      <c r="L93" s="115">
        <f>L15+L21+L33+L48+L49+L55+L56+L66+L67+L68+L69+L78+L79+L80+L81+L82+L83+L84+L85+L88+L23+L50+L52+L72</f>
        <v>1284.4817770719046</v>
      </c>
      <c r="M93" s="115">
        <f>M15+M21+M33+M48+M49+M55+M56+M66+M67+M68+M69+M78+M79+M80+M81+M82+M83+M84+M85+M88+M23+M50+M52+M72</f>
        <v>1294.6693765173732</v>
      </c>
      <c r="N93" s="115">
        <f>N15+N21+N33+N48+N49+N55+N56+N66+N67+N68+N69+N78+N79+N80+N81+N82+N83+N84+N85+N88+N23+N50+N52+N72</f>
        <v>1358.3671602614208</v>
      </c>
      <c r="O93" s="115">
        <f>O15+O21+O33+O48+O49+O55+O56+O66+O67+O68+O69+O78+O79+O80+O81+O82+O83+O84+O85+O88+O23+O50+O52+O72</f>
        <v>1419.0206505402089</v>
      </c>
      <c r="P93" s="115">
        <f>P15+P21+P33+P48+P49+P51+P55+P56+P66+P67+P68+P69+P78+P79+P80+P81+P82+P83+P84+P85+P88+P92+P50</f>
        <v>28.727999999999998</v>
      </c>
      <c r="Q93" s="115">
        <f aca="true" t="shared" si="79" ref="Q93:V93">Q15+Q21+Q33+Q48+Q49+Q55+Q56+Q66+Q67+Q68+Q69+Q78+Q79+Q80+Q81+Q82+Q83+Q84+Q85+Q88+Q23+Q50+Q52</f>
        <v>126.495</v>
      </c>
      <c r="R93" s="115">
        <f t="shared" si="79"/>
        <v>114.523298</v>
      </c>
      <c r="S93" s="115">
        <f t="shared" si="79"/>
        <v>28.633781345000003</v>
      </c>
      <c r="T93" s="115">
        <f t="shared" si="79"/>
        <v>29.208045883352</v>
      </c>
      <c r="U93" s="115">
        <f t="shared" si="79"/>
        <v>33.251765981873476</v>
      </c>
      <c r="V93" s="115">
        <f t="shared" si="79"/>
        <v>36.990567599918634</v>
      </c>
      <c r="W93" s="116">
        <f aca="true" t="shared" si="80" ref="W93:AH93">W15+W21+W33+W48+W49+W50+W52+W56+W67+W68+W69+W72+W78+W79+W80+W81+W82+W83+W84+W85+W88+W91-W92+W66+Z94+W55</f>
        <v>1639</v>
      </c>
      <c r="X93" s="116">
        <f t="shared" si="80"/>
        <v>1460</v>
      </c>
      <c r="Y93" s="116">
        <f t="shared" si="80"/>
        <v>1460</v>
      </c>
      <c r="Z93" s="116">
        <f t="shared" si="80"/>
        <v>1460</v>
      </c>
      <c r="AA93" s="116">
        <f t="shared" si="80"/>
        <v>1460</v>
      </c>
      <c r="AB93" s="116">
        <f t="shared" si="80"/>
        <v>1460</v>
      </c>
      <c r="AC93" s="117">
        <f t="shared" si="80"/>
        <v>351.303</v>
      </c>
      <c r="AD93" s="117">
        <f t="shared" si="80"/>
        <v>333.2840000000002</v>
      </c>
      <c r="AE93" s="117">
        <f t="shared" si="80"/>
        <v>355.603459</v>
      </c>
      <c r="AF93" s="117">
        <f t="shared" si="80"/>
        <v>373.731132409</v>
      </c>
      <c r="AG93" s="117">
        <f t="shared" si="80"/>
        <v>391.290084632223</v>
      </c>
      <c r="AH93" s="117">
        <f t="shared" si="80"/>
        <v>408.10816435604085</v>
      </c>
      <c r="AI93" s="134">
        <f>(AC93/W93)/12*1000000</f>
        <v>17861.653447223915</v>
      </c>
      <c r="AJ93" s="134">
        <f>(AD93/X93)/12*1000000</f>
        <v>19023.059360730607</v>
      </c>
      <c r="AK93" s="134">
        <f>(AE93/Y93)/12*1000000</f>
        <v>20297.001084474883</v>
      </c>
      <c r="AL93" s="134">
        <f>(AF93/Z93)/12*1000000</f>
        <v>21331.685639783103</v>
      </c>
      <c r="AM93" s="134">
        <f>(AG93/AA93)/12*1000000</f>
        <v>22333.908940195375</v>
      </c>
      <c r="AN93" s="134">
        <f>(AH93/AB93)/12*1000000</f>
        <v>23293.844997490916</v>
      </c>
      <c r="AO93" s="82"/>
      <c r="AP93" s="82"/>
    </row>
    <row r="94" spans="1:42" ht="53.25" customHeight="1">
      <c r="A94" s="86" t="s">
        <v>101</v>
      </c>
      <c r="B94" s="129"/>
      <c r="C94" s="129"/>
      <c r="D94" s="129"/>
      <c r="E94" s="129"/>
      <c r="F94" s="129"/>
      <c r="G94" s="129"/>
      <c r="H94" s="129"/>
      <c r="I94" s="129"/>
      <c r="J94" s="129"/>
      <c r="K94" s="129"/>
      <c r="L94" s="129"/>
      <c r="M94" s="129"/>
      <c r="N94" s="129"/>
      <c r="O94" s="129"/>
      <c r="P94" s="137"/>
      <c r="Q94" s="137"/>
      <c r="R94" s="130"/>
      <c r="S94" s="130"/>
      <c r="T94" s="130"/>
      <c r="U94" s="130"/>
      <c r="V94" s="130"/>
      <c r="W94" s="129"/>
      <c r="X94" s="129"/>
      <c r="Y94" s="129"/>
      <c r="Z94" s="129"/>
      <c r="AA94" s="129"/>
      <c r="AB94" s="129"/>
      <c r="AC94" s="138"/>
      <c r="AD94" s="138"/>
      <c r="AE94" s="138"/>
      <c r="AF94" s="138"/>
      <c r="AG94" s="138"/>
      <c r="AH94" s="138"/>
      <c r="AI94" s="134"/>
      <c r="AJ94" s="139"/>
      <c r="AK94" s="139"/>
      <c r="AL94" s="139"/>
      <c r="AM94" s="139"/>
      <c r="AN94" s="139"/>
      <c r="AO94" s="82"/>
      <c r="AP94" s="82"/>
    </row>
    <row r="95" spans="1:42" ht="28.5" customHeight="1" thickBot="1">
      <c r="A95" s="96" t="s">
        <v>95</v>
      </c>
      <c r="B95" s="131">
        <f aca="true" t="shared" si="81" ref="B95:V95">B73+B64+B61+B53+B43+B8</f>
        <v>15274.004</v>
      </c>
      <c r="C95" s="212">
        <f t="shared" si="81"/>
        <v>16774.063</v>
      </c>
      <c r="D95" s="131">
        <f t="shared" si="81"/>
        <v>17350.1730592194</v>
      </c>
      <c r="E95" s="131">
        <f t="shared" si="81"/>
        <v>16893.293558002555</v>
      </c>
      <c r="F95" s="131">
        <f t="shared" si="81"/>
        <v>16890.953194207483</v>
      </c>
      <c r="G95" s="131">
        <f t="shared" si="81"/>
        <v>17608.78840251529</v>
      </c>
      <c r="H95" s="131">
        <f t="shared" si="81"/>
        <v>18280.662564354596</v>
      </c>
      <c r="I95" s="131">
        <f t="shared" si="81"/>
        <v>17976.292</v>
      </c>
      <c r="J95" s="131">
        <f t="shared" si="81"/>
        <v>19719.093</v>
      </c>
      <c r="K95" s="131">
        <f t="shared" si="81"/>
        <v>20193.2560433402</v>
      </c>
      <c r="L95" s="131">
        <f t="shared" si="81"/>
        <v>19762.232522478385</v>
      </c>
      <c r="M95" s="131">
        <f t="shared" si="81"/>
        <v>19918.965470850948</v>
      </c>
      <c r="N95" s="131">
        <f t="shared" si="81"/>
        <v>20898.732120680215</v>
      </c>
      <c r="O95" s="131">
        <f t="shared" si="81"/>
        <v>21831.081266604284</v>
      </c>
      <c r="P95" s="131">
        <f t="shared" si="81"/>
        <v>1676.765</v>
      </c>
      <c r="Q95" s="131">
        <f t="shared" si="81"/>
        <v>1293.662</v>
      </c>
      <c r="R95" s="131">
        <f t="shared" si="81"/>
        <v>1120.9293849999995</v>
      </c>
      <c r="S95" s="131">
        <f t="shared" si="81"/>
        <v>595.9965569260003</v>
      </c>
      <c r="T95" s="131">
        <f t="shared" si="81"/>
        <v>636.2802158843523</v>
      </c>
      <c r="U95" s="131">
        <f t="shared" si="81"/>
        <v>577.8997957935014</v>
      </c>
      <c r="V95" s="131">
        <f t="shared" si="81"/>
        <v>672.545779993501</v>
      </c>
      <c r="W95" s="97">
        <f aca="true" t="shared" si="82" ref="W95:AH95">W73+W64+W61+W53+W43+W8</f>
        <v>14189</v>
      </c>
      <c r="X95" s="97">
        <f t="shared" si="82"/>
        <v>14192</v>
      </c>
      <c r="Y95" s="97">
        <f t="shared" si="82"/>
        <v>14195</v>
      </c>
      <c r="Z95" s="97">
        <f t="shared" si="82"/>
        <v>14200</v>
      </c>
      <c r="AA95" s="97">
        <f t="shared" si="82"/>
        <v>14212</v>
      </c>
      <c r="AB95" s="97">
        <f t="shared" si="82"/>
        <v>14225</v>
      </c>
      <c r="AC95" s="140">
        <f t="shared" si="82"/>
        <v>3933.4039999999995</v>
      </c>
      <c r="AD95" s="140">
        <f t="shared" si="82"/>
        <v>4353.097</v>
      </c>
      <c r="AE95" s="140">
        <f t="shared" si="82"/>
        <v>4602.432137</v>
      </c>
      <c r="AF95" s="140">
        <f t="shared" si="82"/>
        <v>4849.574870987</v>
      </c>
      <c r="AG95" s="140">
        <f t="shared" si="82"/>
        <v>5288.11897192339</v>
      </c>
      <c r="AH95" s="227">
        <f t="shared" si="82"/>
        <v>5864.556536197704</v>
      </c>
      <c r="AI95" s="228">
        <f aca="true" t="shared" si="83" ref="AI95:AN95">(AC95/W95)/12*1000000</f>
        <v>23101.252143679372</v>
      </c>
      <c r="AJ95" s="228">
        <f t="shared" si="83"/>
        <v>25560.7443160466</v>
      </c>
      <c r="AK95" s="228">
        <f t="shared" si="83"/>
        <v>27019.0920335799</v>
      </c>
      <c r="AL95" s="228">
        <f t="shared" si="83"/>
        <v>28459.946425980048</v>
      </c>
      <c r="AM95" s="228">
        <f t="shared" si="83"/>
        <v>31007.35864013621</v>
      </c>
      <c r="AN95" s="228">
        <f t="shared" si="83"/>
        <v>34355.925812523164</v>
      </c>
      <c r="AO95" s="82"/>
      <c r="AP95" s="82"/>
    </row>
    <row r="96" spans="1:42" ht="32.25" thickTop="1">
      <c r="A96" s="98"/>
      <c r="B96" s="220">
        <v>2012</v>
      </c>
      <c r="C96" s="220">
        <v>2013</v>
      </c>
      <c r="D96" s="220">
        <v>2014</v>
      </c>
      <c r="E96" s="220">
        <v>2015</v>
      </c>
      <c r="F96" s="220">
        <v>2015</v>
      </c>
      <c r="G96" s="220">
        <v>2016</v>
      </c>
      <c r="H96" s="220">
        <v>2017</v>
      </c>
      <c r="I96" s="220">
        <v>2012</v>
      </c>
      <c r="J96" s="220">
        <v>2013</v>
      </c>
      <c r="K96" s="220">
        <v>2014</v>
      </c>
      <c r="L96" s="220">
        <v>2015</v>
      </c>
      <c r="M96" s="220">
        <v>2015</v>
      </c>
      <c r="N96" s="220">
        <v>2016</v>
      </c>
      <c r="O96" s="220">
        <v>2017</v>
      </c>
      <c r="P96" s="220">
        <v>2012</v>
      </c>
      <c r="Q96" s="221" t="s">
        <v>333</v>
      </c>
      <c r="R96" s="220">
        <v>2014</v>
      </c>
      <c r="S96" s="220">
        <v>2015</v>
      </c>
      <c r="T96" s="220">
        <v>2015</v>
      </c>
      <c r="U96" s="220">
        <v>2016</v>
      </c>
      <c r="V96" s="220">
        <v>2017</v>
      </c>
      <c r="W96" s="220">
        <v>2012</v>
      </c>
      <c r="X96" s="220">
        <v>2013</v>
      </c>
      <c r="Y96" s="220">
        <v>2014</v>
      </c>
      <c r="Z96" s="220">
        <v>2015</v>
      </c>
      <c r="AA96" s="220">
        <v>2016</v>
      </c>
      <c r="AB96" s="220">
        <v>2017</v>
      </c>
      <c r="AC96" s="220">
        <v>2012</v>
      </c>
      <c r="AD96" s="220">
        <v>2013</v>
      </c>
      <c r="AE96" s="220">
        <v>2014</v>
      </c>
      <c r="AF96" s="220">
        <v>2015</v>
      </c>
      <c r="AG96" s="220">
        <v>2016</v>
      </c>
      <c r="AH96" s="220">
        <v>2017</v>
      </c>
      <c r="AI96" s="220">
        <v>2012</v>
      </c>
      <c r="AJ96" s="220">
        <v>2013</v>
      </c>
      <c r="AK96" s="220">
        <v>2014</v>
      </c>
      <c r="AL96" s="220">
        <v>2015</v>
      </c>
      <c r="AM96" s="220">
        <v>2016</v>
      </c>
      <c r="AN96" s="220">
        <v>2017</v>
      </c>
      <c r="AO96" s="82"/>
      <c r="AP96" s="82"/>
    </row>
    <row r="97" spans="1:42" ht="16.5">
      <c r="A97" s="98"/>
      <c r="B97" s="98"/>
      <c r="C97" s="98"/>
      <c r="D97" s="98"/>
      <c r="E97" s="98"/>
      <c r="F97" s="98"/>
      <c r="G97" s="98"/>
      <c r="H97" s="98"/>
      <c r="I97" s="101"/>
      <c r="J97" s="101"/>
      <c r="K97" s="101"/>
      <c r="L97" s="101"/>
      <c r="M97" s="101"/>
      <c r="N97" s="101"/>
      <c r="O97" s="101"/>
      <c r="P97" s="222"/>
      <c r="Q97" s="222"/>
      <c r="R97" s="101"/>
      <c r="S97" s="101"/>
      <c r="T97" s="101"/>
      <c r="U97" s="101"/>
      <c r="V97" s="101"/>
      <c r="W97" s="98"/>
      <c r="X97" s="99"/>
      <c r="Y97" s="98"/>
      <c r="Z97" s="98"/>
      <c r="AA97" s="98"/>
      <c r="AB97" s="98"/>
      <c r="AC97" s="98"/>
      <c r="AD97" s="98"/>
      <c r="AE97" s="223"/>
      <c r="AF97" s="98"/>
      <c r="AG97" s="98"/>
      <c r="AH97" s="98"/>
      <c r="AI97" s="98"/>
      <c r="AJ97" s="98"/>
      <c r="AK97" s="98"/>
      <c r="AL97" s="98"/>
      <c r="AM97" s="98"/>
      <c r="AN97" s="98"/>
      <c r="AO97" s="82"/>
      <c r="AP97" s="82"/>
    </row>
    <row r="98" spans="1:42" ht="16.5">
      <c r="A98" s="224" t="s">
        <v>252</v>
      </c>
      <c r="B98" s="225">
        <f aca="true" t="shared" si="84" ref="B98:V98">B93/B95*100</f>
        <v>5.100096870473518</v>
      </c>
      <c r="C98" s="225">
        <f t="shared" si="84"/>
        <v>5.734394821338159</v>
      </c>
      <c r="D98" s="225">
        <f t="shared" si="84"/>
        <v>6.583312197903744</v>
      </c>
      <c r="E98" s="225">
        <f t="shared" si="84"/>
        <v>6.599953616518032</v>
      </c>
      <c r="F98" s="225">
        <f t="shared" si="84"/>
        <v>6.600018399852827</v>
      </c>
      <c r="G98" s="225">
        <f t="shared" si="84"/>
        <v>6.5998626838621455</v>
      </c>
      <c r="H98" s="225">
        <f t="shared" si="84"/>
        <v>6.599987146821008</v>
      </c>
      <c r="I98" s="226">
        <f t="shared" si="84"/>
        <v>5.201233936342378</v>
      </c>
      <c r="J98" s="226">
        <f t="shared" si="84"/>
        <v>5.666934072474834</v>
      </c>
      <c r="K98" s="226">
        <f t="shared" si="84"/>
        <v>6.483593806640185</v>
      </c>
      <c r="L98" s="226">
        <f t="shared" si="84"/>
        <v>6.499679505394351</v>
      </c>
      <c r="M98" s="226">
        <f t="shared" si="84"/>
        <v>6.499681815363196</v>
      </c>
      <c r="N98" s="226">
        <f t="shared" si="84"/>
        <v>6.499758705061619</v>
      </c>
      <c r="O98" s="226">
        <f t="shared" si="84"/>
        <v>6.50000168663625</v>
      </c>
      <c r="P98" s="226">
        <f t="shared" si="84"/>
        <v>1.713299120628114</v>
      </c>
      <c r="Q98" s="225">
        <f t="shared" si="84"/>
        <v>9.778056401131053</v>
      </c>
      <c r="R98" s="225">
        <f t="shared" si="84"/>
        <v>10.216816467881253</v>
      </c>
      <c r="S98" s="225">
        <f t="shared" si="84"/>
        <v>4.804353483631821</v>
      </c>
      <c r="T98" s="225">
        <f t="shared" si="84"/>
        <v>4.59043753902616</v>
      </c>
      <c r="U98" s="225">
        <f t="shared" si="84"/>
        <v>5.753898205867371</v>
      </c>
      <c r="V98" s="225">
        <f t="shared" si="84"/>
        <v>5.500081734253999</v>
      </c>
      <c r="W98" s="98"/>
      <c r="X98" s="98"/>
      <c r="Y98" s="98"/>
      <c r="Z98" s="98"/>
      <c r="AA98" s="98"/>
      <c r="AB98" s="98"/>
      <c r="AC98" s="98"/>
      <c r="AD98" s="98"/>
      <c r="AE98" s="98"/>
      <c r="AF98" s="98"/>
      <c r="AG98" s="98"/>
      <c r="AH98" s="98"/>
      <c r="AI98" s="98"/>
      <c r="AJ98" s="98"/>
      <c r="AK98" s="98"/>
      <c r="AL98" s="98"/>
      <c r="AM98" s="98"/>
      <c r="AN98" s="98"/>
      <c r="AO98" s="82"/>
      <c r="AP98" s="82"/>
    </row>
    <row r="99" spans="1:42" s="102" customFormat="1" ht="16.5">
      <c r="A99" s="100"/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1"/>
      <c r="X99" s="101"/>
      <c r="Y99" s="101"/>
      <c r="Z99" s="101"/>
      <c r="AA99" s="101"/>
      <c r="AB99" s="100"/>
      <c r="AC99" s="100"/>
      <c r="AD99" s="100"/>
      <c r="AE99" s="100"/>
      <c r="AF99" s="100"/>
      <c r="AG99" s="100"/>
      <c r="AH99" s="100"/>
      <c r="AI99" s="100"/>
      <c r="AJ99" s="100"/>
      <c r="AK99" s="100"/>
      <c r="AL99" s="100"/>
      <c r="AM99" s="100"/>
      <c r="AN99" s="100"/>
      <c r="AO99" s="100"/>
      <c r="AP99" s="100"/>
    </row>
    <row r="100" spans="1:42" ht="16.5">
      <c r="A100" s="82" t="s">
        <v>369</v>
      </c>
      <c r="B100" s="82"/>
      <c r="C100" s="82"/>
      <c r="D100" s="82"/>
      <c r="E100" s="267">
        <f>E8/E95*100</f>
        <v>67.839640722123</v>
      </c>
      <c r="F100" s="267">
        <f>F8/F95*100</f>
        <v>67.87526961325726</v>
      </c>
      <c r="G100" s="267">
        <f>G8/G95*100</f>
        <v>67.6104119535057</v>
      </c>
      <c r="H100" s="267">
        <f>H8/H95*100</f>
        <v>67.08738568113189</v>
      </c>
      <c r="I100" s="82"/>
      <c r="J100" s="82"/>
      <c r="K100" s="82"/>
      <c r="L100" s="82"/>
      <c r="M100" s="82"/>
      <c r="N100" s="82"/>
      <c r="O100" s="82"/>
      <c r="P100" s="82"/>
      <c r="Q100" s="82"/>
      <c r="R100" s="267">
        <f>R26/R95*100</f>
        <v>76.14785475536443</v>
      </c>
      <c r="S100" s="267">
        <f>S26/S95*100</f>
        <v>68.81190087997791</v>
      </c>
      <c r="T100" s="267">
        <f>T26/T95*100</f>
        <v>64.45533740664688</v>
      </c>
      <c r="U100" s="267">
        <f>U26/U95*100</f>
        <v>54.62903297387721</v>
      </c>
      <c r="V100" s="267">
        <f>V26/V95*100</f>
        <v>47.793455785732036</v>
      </c>
      <c r="W100" s="98"/>
      <c r="X100" s="98"/>
      <c r="Y100" s="268">
        <f>Y26/Y95*100</f>
        <v>24.09299048960902</v>
      </c>
      <c r="Z100" s="268">
        <f>Z26/Z95*100</f>
        <v>23.943661971830984</v>
      </c>
      <c r="AA100" s="268">
        <f>AA26/AA95*100</f>
        <v>23.923444976076556</v>
      </c>
      <c r="AB100" s="268">
        <f>AB26/AB95*100</f>
        <v>23.901581722319857</v>
      </c>
      <c r="AC100" s="82"/>
      <c r="AD100" s="82"/>
      <c r="AE100" s="82"/>
      <c r="AF100" s="82"/>
      <c r="AG100" s="82"/>
      <c r="AH100" s="82"/>
      <c r="AI100" s="82"/>
      <c r="AJ100" s="82"/>
      <c r="AK100" s="82"/>
      <c r="AL100" s="82"/>
      <c r="AM100" s="82"/>
      <c r="AN100" s="82"/>
      <c r="AO100" s="82"/>
      <c r="AP100" s="82"/>
    </row>
    <row r="101" spans="1:42" ht="16.5">
      <c r="A101" s="82" t="s">
        <v>374</v>
      </c>
      <c r="B101" s="82"/>
      <c r="C101" s="82"/>
      <c r="D101" s="82"/>
      <c r="E101" s="267">
        <f>E26/E8*100</f>
        <v>89.46423370893648</v>
      </c>
      <c r="F101" s="267">
        <f>F26/F8*100</f>
        <v>89.42966181106881</v>
      </c>
      <c r="G101" s="267">
        <f>G26/G8*100</f>
        <v>88.39175203592173</v>
      </c>
      <c r="H101" s="267">
        <f>H26/H8*100</f>
        <v>87.36474845477218</v>
      </c>
      <c r="I101" s="82"/>
      <c r="J101" s="82"/>
      <c r="K101" s="82"/>
      <c r="L101" s="82"/>
      <c r="M101" s="82"/>
      <c r="N101" s="82"/>
      <c r="O101" s="82"/>
      <c r="P101" s="82"/>
      <c r="Q101" s="82"/>
      <c r="R101" s="82"/>
      <c r="S101" s="82"/>
      <c r="T101" s="82"/>
      <c r="U101" s="82"/>
      <c r="V101" s="82"/>
      <c r="W101" s="98"/>
      <c r="X101" s="98"/>
      <c r="Y101" s="98"/>
      <c r="Z101" s="98"/>
      <c r="AA101" s="98"/>
      <c r="AB101" s="82"/>
      <c r="AC101" s="82"/>
      <c r="AD101" s="82"/>
      <c r="AE101" s="82"/>
      <c r="AF101" s="82"/>
      <c r="AG101" s="82"/>
      <c r="AH101" s="82"/>
      <c r="AI101" s="82"/>
      <c r="AJ101" s="82"/>
      <c r="AK101" s="82"/>
      <c r="AL101" s="82"/>
      <c r="AM101" s="82"/>
      <c r="AN101" s="82"/>
      <c r="AO101" s="82"/>
      <c r="AP101" s="82"/>
    </row>
    <row r="102" spans="1:42" ht="16.5">
      <c r="A102" s="82" t="s">
        <v>370</v>
      </c>
      <c r="B102" s="82"/>
      <c r="C102" s="82"/>
      <c r="D102" s="82"/>
      <c r="E102" s="267">
        <f>E61/E95*100</f>
        <v>13.898211093941143</v>
      </c>
      <c r="F102" s="267">
        <f>F61/F95*100</f>
        <v>13.873810775010615</v>
      </c>
      <c r="G102" s="267">
        <f>G61/G95*100</f>
        <v>13.640940543208227</v>
      </c>
      <c r="H102" s="267">
        <f>H61/H95*100</f>
        <v>13.652035408886501</v>
      </c>
      <c r="I102" s="82"/>
      <c r="J102" s="82"/>
      <c r="K102" s="82"/>
      <c r="L102" s="82"/>
      <c r="M102" s="82"/>
      <c r="N102" s="82"/>
      <c r="O102" s="82"/>
      <c r="P102" s="82"/>
      <c r="Q102" s="82"/>
      <c r="R102" s="82"/>
      <c r="S102" s="82"/>
      <c r="T102" s="82"/>
      <c r="U102" s="82"/>
      <c r="V102" s="82"/>
      <c r="W102" s="98"/>
      <c r="X102" s="98"/>
      <c r="Y102" s="98"/>
      <c r="Z102" s="98"/>
      <c r="AA102" s="98"/>
      <c r="AB102" s="82"/>
      <c r="AC102" s="82"/>
      <c r="AD102" s="82"/>
      <c r="AE102" s="82"/>
      <c r="AF102" s="82"/>
      <c r="AG102" s="82"/>
      <c r="AH102" s="82"/>
      <c r="AI102" s="82"/>
      <c r="AJ102" s="82"/>
      <c r="AK102" s="82"/>
      <c r="AL102" s="82"/>
      <c r="AM102" s="82"/>
      <c r="AN102" s="82"/>
      <c r="AO102" s="82"/>
      <c r="AP102" s="82"/>
    </row>
    <row r="103" spans="1:42" ht="16.5">
      <c r="A103" s="82" t="s">
        <v>371</v>
      </c>
      <c r="B103" s="82"/>
      <c r="C103" s="82"/>
      <c r="D103" s="82"/>
      <c r="E103" s="267">
        <f>E43/E95*100</f>
        <v>7.750736429929277</v>
      </c>
      <c r="F103" s="267">
        <f>F43/F95*100</f>
        <v>7.746374572269314</v>
      </c>
      <c r="G103" s="267">
        <f>G43/G95*100</f>
        <v>7.9997994252562075</v>
      </c>
      <c r="H103" s="267">
        <f>H43/H95*100</f>
        <v>8.235287141717794</v>
      </c>
      <c r="I103" s="82"/>
      <c r="J103" s="82"/>
      <c r="K103" s="82"/>
      <c r="L103" s="82"/>
      <c r="M103" s="82"/>
      <c r="N103" s="82"/>
      <c r="O103" s="82"/>
      <c r="P103" s="82"/>
      <c r="Q103" s="82"/>
      <c r="R103" s="82"/>
      <c r="S103" s="82"/>
      <c r="T103" s="82"/>
      <c r="U103" s="82"/>
      <c r="V103" s="82"/>
      <c r="W103" s="98"/>
      <c r="X103" s="98"/>
      <c r="Y103" s="98"/>
      <c r="Z103" s="98"/>
      <c r="AA103" s="98"/>
      <c r="AB103" s="82"/>
      <c r="AC103" s="82"/>
      <c r="AD103" s="82"/>
      <c r="AE103" s="82"/>
      <c r="AF103" s="82"/>
      <c r="AG103" s="82"/>
      <c r="AH103" s="82"/>
      <c r="AI103" s="82"/>
      <c r="AJ103" s="82"/>
      <c r="AK103" s="82"/>
      <c r="AL103" s="82"/>
      <c r="AM103" s="82"/>
      <c r="AN103" s="82"/>
      <c r="AO103" s="82"/>
      <c r="AP103" s="82"/>
    </row>
    <row r="104" spans="1:42" ht="16.5">
      <c r="A104" s="82" t="s">
        <v>372</v>
      </c>
      <c r="B104" s="82"/>
      <c r="C104" s="82"/>
      <c r="D104" s="82"/>
      <c r="E104" s="267">
        <f>E64/E95*100</f>
        <v>5.462355467507926</v>
      </c>
      <c r="F104" s="267">
        <f>F64/F95*100</f>
        <v>5.457899422954176</v>
      </c>
      <c r="G104" s="267">
        <f>G64/G95*100</f>
        <v>5.618949846619762</v>
      </c>
      <c r="H104" s="267">
        <f>H64/H95*100</f>
        <v>5.8484608231214805</v>
      </c>
      <c r="I104" s="82"/>
      <c r="J104" s="82"/>
      <c r="K104" s="82"/>
      <c r="L104" s="82"/>
      <c r="M104" s="82"/>
      <c r="N104" s="82"/>
      <c r="O104" s="82"/>
      <c r="P104" s="82"/>
      <c r="Q104" s="82"/>
      <c r="R104" s="82"/>
      <c r="S104" s="82"/>
      <c r="T104" s="82"/>
      <c r="U104" s="82"/>
      <c r="V104" s="82"/>
      <c r="W104" s="98"/>
      <c r="X104" s="98"/>
      <c r="Y104" s="98"/>
      <c r="Z104" s="98"/>
      <c r="AA104" s="98"/>
      <c r="AB104" s="82"/>
      <c r="AC104" s="82"/>
      <c r="AD104" s="82"/>
      <c r="AE104" s="82"/>
      <c r="AF104" s="82"/>
      <c r="AG104" s="82"/>
      <c r="AH104" s="82"/>
      <c r="AI104" s="82"/>
      <c r="AJ104" s="82"/>
      <c r="AK104" s="82"/>
      <c r="AL104" s="82"/>
      <c r="AM104" s="82"/>
      <c r="AN104" s="82"/>
      <c r="AO104" s="82"/>
      <c r="AP104" s="82"/>
    </row>
    <row r="105" spans="1:42" ht="16.5">
      <c r="A105" s="82" t="s">
        <v>373</v>
      </c>
      <c r="B105" s="82"/>
      <c r="C105" s="82"/>
      <c r="D105" s="82"/>
      <c r="E105" s="267">
        <f>(E73+E53)/E95*100</f>
        <v>5.049056286498653</v>
      </c>
      <c r="F105" s="267">
        <f>(F73+F53)/F95*100</f>
        <v>5.046645616508651</v>
      </c>
      <c r="G105" s="267">
        <f>(G73+G53)/G95*100</f>
        <v>5.129898231410119</v>
      </c>
      <c r="H105" s="267">
        <f>(H73+H53)/H95*100</f>
        <v>5.176830945142335</v>
      </c>
      <c r="I105" s="82"/>
      <c r="J105" s="82"/>
      <c r="K105" s="82"/>
      <c r="L105" s="82"/>
      <c r="M105" s="82"/>
      <c r="N105" s="82"/>
      <c r="O105" s="82"/>
      <c r="P105" s="82"/>
      <c r="Q105" s="82"/>
      <c r="R105" s="82"/>
      <c r="S105" s="82"/>
      <c r="T105" s="82"/>
      <c r="U105" s="82"/>
      <c r="V105" s="82"/>
      <c r="W105" s="98"/>
      <c r="X105" s="98"/>
      <c r="Y105" s="98"/>
      <c r="Z105" s="98"/>
      <c r="AA105" s="98"/>
      <c r="AB105" s="82"/>
      <c r="AC105" s="82"/>
      <c r="AD105" s="82"/>
      <c r="AE105" s="82"/>
      <c r="AF105" s="82"/>
      <c r="AG105" s="82"/>
      <c r="AH105" s="82"/>
      <c r="AI105" s="82"/>
      <c r="AJ105" s="82"/>
      <c r="AK105" s="82"/>
      <c r="AL105" s="82"/>
      <c r="AM105" s="82"/>
      <c r="AN105" s="82"/>
      <c r="AO105" s="82"/>
      <c r="AP105" s="82"/>
    </row>
    <row r="106" spans="1:42" ht="16.5">
      <c r="A106" s="82"/>
      <c r="B106" s="82"/>
      <c r="C106" s="82"/>
      <c r="D106" s="82"/>
      <c r="E106" s="82"/>
      <c r="F106" s="82"/>
      <c r="G106" s="82"/>
      <c r="H106" s="82"/>
      <c r="I106" s="82"/>
      <c r="J106" s="82"/>
      <c r="K106" s="82"/>
      <c r="L106" s="82"/>
      <c r="M106" s="82"/>
      <c r="N106" s="82"/>
      <c r="O106" s="82"/>
      <c r="P106" s="82"/>
      <c r="Q106" s="82"/>
      <c r="R106" s="82"/>
      <c r="S106" s="82"/>
      <c r="T106" s="82"/>
      <c r="U106" s="82"/>
      <c r="V106" s="82"/>
      <c r="W106" s="98"/>
      <c r="X106" s="98"/>
      <c r="Y106" s="98"/>
      <c r="Z106" s="98"/>
      <c r="AA106" s="98"/>
      <c r="AB106" s="82"/>
      <c r="AC106" s="82"/>
      <c r="AD106" s="82"/>
      <c r="AE106" s="82"/>
      <c r="AF106" s="82"/>
      <c r="AG106" s="82"/>
      <c r="AH106" s="82"/>
      <c r="AI106" s="82"/>
      <c r="AJ106" s="82"/>
      <c r="AK106" s="82"/>
      <c r="AL106" s="82"/>
      <c r="AM106" s="82"/>
      <c r="AN106" s="82"/>
      <c r="AO106" s="82"/>
      <c r="AP106" s="82"/>
    </row>
    <row r="107" spans="1:42" ht="16.5">
      <c r="A107" s="82"/>
      <c r="B107" s="82"/>
      <c r="C107" s="82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  <c r="S107" s="82"/>
      <c r="T107" s="82"/>
      <c r="U107" s="82"/>
      <c r="V107" s="82"/>
      <c r="W107" s="98"/>
      <c r="X107" s="98"/>
      <c r="Y107" s="98"/>
      <c r="Z107" s="98"/>
      <c r="AA107" s="98"/>
      <c r="AB107" s="82"/>
      <c r="AC107" s="82"/>
      <c r="AD107" s="82"/>
      <c r="AE107" s="82"/>
      <c r="AF107" s="82"/>
      <c r="AG107" s="82"/>
      <c r="AH107" s="82"/>
      <c r="AI107" s="82"/>
      <c r="AJ107" s="82"/>
      <c r="AK107" s="82"/>
      <c r="AL107" s="82"/>
      <c r="AM107" s="82"/>
      <c r="AN107" s="82"/>
      <c r="AO107" s="82"/>
      <c r="AP107" s="82"/>
    </row>
    <row r="108" spans="1:42" ht="16.5">
      <c r="A108" s="82"/>
      <c r="B108" s="82"/>
      <c r="C108" s="82"/>
      <c r="D108" s="82"/>
      <c r="E108" s="82"/>
      <c r="F108" s="82"/>
      <c r="G108" s="82"/>
      <c r="H108" s="82"/>
      <c r="I108" s="82"/>
      <c r="J108" s="82"/>
      <c r="K108" s="82"/>
      <c r="L108" s="82"/>
      <c r="M108" s="82"/>
      <c r="N108" s="82"/>
      <c r="O108" s="82"/>
      <c r="P108" s="82"/>
      <c r="Q108" s="82"/>
      <c r="R108" s="82"/>
      <c r="S108" s="82"/>
      <c r="T108" s="82"/>
      <c r="U108" s="82"/>
      <c r="V108" s="82"/>
      <c r="W108" s="98"/>
      <c r="X108" s="98"/>
      <c r="Y108" s="98"/>
      <c r="Z108" s="98"/>
      <c r="AA108" s="98"/>
      <c r="AB108" s="82"/>
      <c r="AC108" s="82"/>
      <c r="AD108" s="82"/>
      <c r="AE108" s="82"/>
      <c r="AF108" s="82"/>
      <c r="AG108" s="82"/>
      <c r="AH108" s="82"/>
      <c r="AI108" s="82"/>
      <c r="AJ108" s="82"/>
      <c r="AK108" s="82"/>
      <c r="AL108" s="82"/>
      <c r="AM108" s="82"/>
      <c r="AN108" s="82"/>
      <c r="AO108" s="82"/>
      <c r="AP108" s="82"/>
    </row>
  </sheetData>
  <mergeCells count="39">
    <mergeCell ref="B41:H41"/>
    <mergeCell ref="B42:H42"/>
    <mergeCell ref="B58:H58"/>
    <mergeCell ref="B59:H59"/>
    <mergeCell ref="AI6:AI7"/>
    <mergeCell ref="AJ6:AJ7"/>
    <mergeCell ref="AK6:AK7"/>
    <mergeCell ref="AL6:AN6"/>
    <mergeCell ref="AC6:AC7"/>
    <mergeCell ref="AD6:AD7"/>
    <mergeCell ref="AE6:AE7"/>
    <mergeCell ref="AF6:AH6"/>
    <mergeCell ref="W6:W7"/>
    <mergeCell ref="X6:X7"/>
    <mergeCell ref="Y6:Y7"/>
    <mergeCell ref="Z6:AB6"/>
    <mergeCell ref="P6:P7"/>
    <mergeCell ref="Q6:Q7"/>
    <mergeCell ref="R6:R7"/>
    <mergeCell ref="S6:V6"/>
    <mergeCell ref="AC5:AH5"/>
    <mergeCell ref="AI5:AN5"/>
    <mergeCell ref="B6:B7"/>
    <mergeCell ref="C6:C7"/>
    <mergeCell ref="D6:D7"/>
    <mergeCell ref="E6:H6"/>
    <mergeCell ref="I6:I7"/>
    <mergeCell ref="J6:J7"/>
    <mergeCell ref="K6:K7"/>
    <mergeCell ref="L6:O6"/>
    <mergeCell ref="B5:H5"/>
    <mergeCell ref="I5:O5"/>
    <mergeCell ref="P5:V5"/>
    <mergeCell ref="W5:AB5"/>
    <mergeCell ref="B2:V2"/>
    <mergeCell ref="AJ2:AN2"/>
    <mergeCell ref="B4:H4"/>
    <mergeCell ref="I4:V4"/>
    <mergeCell ref="W4:AN4"/>
  </mergeCells>
  <printOptions/>
  <pageMargins left="0.75" right="0.75" top="1" bottom="1" header="0.5" footer="0.5"/>
  <pageSetup horizontalDpi="600" verticalDpi="600" orientation="landscape" paperSize="9" scale="2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81"/>
  <sheetViews>
    <sheetView view="pageBreakPreview" zoomScale="60" workbookViewId="0" topLeftCell="A1">
      <selection activeCell="A1" sqref="A1:IV16384"/>
    </sheetView>
  </sheetViews>
  <sheetFormatPr defaultColWidth="9.00390625" defaultRowHeight="12.75"/>
  <cols>
    <col min="1" max="1" width="42.75390625" style="52" customWidth="1"/>
    <col min="2" max="2" width="11.125" style="52" customWidth="1"/>
    <col min="3" max="5" width="14.75390625" style="33" customWidth="1"/>
    <col min="6" max="6" width="15.75390625" style="33" customWidth="1"/>
    <col min="7" max="7" width="12.25390625" style="33" customWidth="1"/>
    <col min="8" max="8" width="13.375" style="33" customWidth="1"/>
    <col min="9" max="9" width="13.625" style="33" customWidth="1"/>
    <col min="10" max="10" width="14.75390625" style="33" customWidth="1"/>
    <col min="11" max="16384" width="9.125" style="33" customWidth="1"/>
  </cols>
  <sheetData>
    <row r="1" spans="1:10" ht="15.75">
      <c r="A1" s="31"/>
      <c r="B1" s="31"/>
      <c r="C1" s="32"/>
      <c r="D1" s="32"/>
      <c r="E1" s="32"/>
      <c r="F1" s="434" t="s">
        <v>317</v>
      </c>
      <c r="G1" s="434"/>
      <c r="H1" s="434"/>
      <c r="I1" s="434"/>
      <c r="J1" s="434"/>
    </row>
    <row r="2" spans="1:10" ht="24.75" customHeight="1">
      <c r="A2" s="403" t="s">
        <v>173</v>
      </c>
      <c r="B2" s="403"/>
      <c r="C2" s="403"/>
      <c r="D2" s="403"/>
      <c r="E2" s="403"/>
      <c r="F2" s="403"/>
      <c r="G2" s="403"/>
      <c r="H2" s="403"/>
      <c r="I2" s="403"/>
      <c r="J2" s="403"/>
    </row>
    <row r="3" spans="1:10" ht="14.25" customHeight="1">
      <c r="A3" s="435" t="s">
        <v>263</v>
      </c>
      <c r="B3" s="435"/>
      <c r="C3" s="435"/>
      <c r="D3" s="435"/>
      <c r="E3" s="435"/>
      <c r="F3" s="435"/>
      <c r="G3" s="435"/>
      <c r="H3" s="435"/>
      <c r="I3" s="435"/>
      <c r="J3" s="435"/>
    </row>
    <row r="4" spans="1:10" ht="14.25" customHeight="1">
      <c r="A4" s="403" t="s">
        <v>305</v>
      </c>
      <c r="B4" s="435"/>
      <c r="C4" s="435"/>
      <c r="D4" s="435"/>
      <c r="E4" s="435"/>
      <c r="F4" s="435"/>
      <c r="G4" s="435"/>
      <c r="H4" s="435"/>
      <c r="I4" s="435"/>
      <c r="J4" s="435"/>
    </row>
    <row r="5" spans="1:10" ht="7.5" customHeight="1">
      <c r="A5" s="436" t="s">
        <v>264</v>
      </c>
      <c r="B5" s="436"/>
      <c r="C5" s="436"/>
      <c r="D5" s="436"/>
      <c r="E5" s="436"/>
      <c r="F5" s="436"/>
      <c r="G5" s="436"/>
      <c r="H5" s="436"/>
      <c r="I5" s="436"/>
      <c r="J5" s="436"/>
    </row>
    <row r="6" spans="1:10" ht="15.75">
      <c r="A6" s="435" t="s">
        <v>174</v>
      </c>
      <c r="B6" s="435"/>
      <c r="C6" s="435"/>
      <c r="D6" s="435"/>
      <c r="E6" s="435"/>
      <c r="F6" s="435"/>
      <c r="G6" s="435"/>
      <c r="H6" s="435"/>
      <c r="I6" s="435"/>
      <c r="J6" s="435"/>
    </row>
    <row r="7" spans="1:8" ht="13.5" thickBot="1">
      <c r="A7" s="437"/>
      <c r="B7" s="437"/>
      <c r="C7" s="437"/>
      <c r="D7" s="437"/>
      <c r="E7" s="437"/>
      <c r="F7" s="437"/>
      <c r="G7" s="437"/>
      <c r="H7" s="437"/>
    </row>
    <row r="8" spans="1:9" ht="18.75" customHeight="1">
      <c r="A8" s="438" t="s">
        <v>175</v>
      </c>
      <c r="B8" s="430" t="s">
        <v>176</v>
      </c>
      <c r="C8" s="417" t="s">
        <v>265</v>
      </c>
      <c r="D8" s="417" t="s">
        <v>342</v>
      </c>
      <c r="E8" s="417" t="s">
        <v>343</v>
      </c>
      <c r="F8" s="420" t="s">
        <v>177</v>
      </c>
      <c r="G8" s="413"/>
      <c r="H8" s="413"/>
      <c r="I8" s="414"/>
    </row>
    <row r="9" spans="1:9" ht="18.75" customHeight="1">
      <c r="A9" s="439"/>
      <c r="B9" s="418"/>
      <c r="C9" s="418"/>
      <c r="D9" s="418"/>
      <c r="E9" s="418"/>
      <c r="F9" s="421">
        <v>2015</v>
      </c>
      <c r="G9" s="422"/>
      <c r="H9" s="423" t="s">
        <v>241</v>
      </c>
      <c r="I9" s="424" t="s">
        <v>330</v>
      </c>
    </row>
    <row r="10" spans="1:9" ht="16.5" customHeight="1" thickBot="1">
      <c r="A10" s="471"/>
      <c r="B10" s="459"/>
      <c r="C10" s="419"/>
      <c r="D10" s="419"/>
      <c r="E10" s="419"/>
      <c r="F10" s="204" t="s">
        <v>79</v>
      </c>
      <c r="G10" s="229" t="s">
        <v>2</v>
      </c>
      <c r="H10" s="411"/>
      <c r="I10" s="409"/>
    </row>
    <row r="11" spans="1:9" ht="31.5" customHeight="1">
      <c r="A11" s="35" t="s">
        <v>178</v>
      </c>
      <c r="B11" s="36" t="s">
        <v>12</v>
      </c>
      <c r="C11" s="230">
        <v>70</v>
      </c>
      <c r="D11" s="230">
        <v>60</v>
      </c>
      <c r="E11" s="230">
        <v>60</v>
      </c>
      <c r="F11" s="230">
        <v>60</v>
      </c>
      <c r="G11" s="230">
        <v>60</v>
      </c>
      <c r="H11" s="230">
        <v>60</v>
      </c>
      <c r="I11" s="230">
        <v>60</v>
      </c>
    </row>
    <row r="12" spans="1:9" ht="33" customHeight="1">
      <c r="A12" s="37" t="s">
        <v>179</v>
      </c>
      <c r="B12" s="38" t="s">
        <v>12</v>
      </c>
      <c r="C12" s="39">
        <v>60</v>
      </c>
      <c r="D12" s="39">
        <v>70</v>
      </c>
      <c r="E12" s="39">
        <v>80</v>
      </c>
      <c r="F12" s="39">
        <v>80</v>
      </c>
      <c r="G12" s="39">
        <v>70</v>
      </c>
      <c r="H12" s="39">
        <v>70</v>
      </c>
      <c r="I12" s="39">
        <v>70</v>
      </c>
    </row>
    <row r="13" spans="1:9" ht="36.75" customHeight="1">
      <c r="A13" s="37" t="s">
        <v>180</v>
      </c>
      <c r="B13" s="38" t="s">
        <v>181</v>
      </c>
      <c r="C13" s="58">
        <v>43761</v>
      </c>
      <c r="D13" s="58">
        <v>35788</v>
      </c>
      <c r="E13" s="58">
        <v>34368</v>
      </c>
      <c r="F13" s="58">
        <v>36000</v>
      </c>
      <c r="G13" s="58">
        <v>36000</v>
      </c>
      <c r="H13" s="58">
        <v>33660</v>
      </c>
      <c r="I13" s="63">
        <v>31472</v>
      </c>
    </row>
    <row r="14" spans="1:9" ht="27" customHeight="1">
      <c r="A14" s="37" t="s">
        <v>182</v>
      </c>
      <c r="B14" s="38" t="s">
        <v>181</v>
      </c>
      <c r="C14" s="58">
        <v>0</v>
      </c>
      <c r="D14" s="58">
        <v>0</v>
      </c>
      <c r="E14" s="58">
        <v>0</v>
      </c>
      <c r="F14" s="58">
        <v>0</v>
      </c>
      <c r="G14" s="58">
        <v>0</v>
      </c>
      <c r="H14" s="58">
        <v>0</v>
      </c>
      <c r="I14" s="58">
        <v>0</v>
      </c>
    </row>
    <row r="15" spans="1:9" ht="21" customHeight="1">
      <c r="A15" s="187" t="s">
        <v>15</v>
      </c>
      <c r="B15" s="38"/>
      <c r="C15" s="41"/>
      <c r="D15" s="41"/>
      <c r="E15" s="41"/>
      <c r="F15" s="41"/>
      <c r="G15" s="42"/>
      <c r="H15" s="41"/>
      <c r="I15" s="42"/>
    </row>
    <row r="16" spans="1:9" ht="21.75" customHeight="1">
      <c r="A16" s="187" t="s">
        <v>209</v>
      </c>
      <c r="B16" s="38" t="s">
        <v>181</v>
      </c>
      <c r="C16" s="41"/>
      <c r="D16" s="41"/>
      <c r="E16" s="41"/>
      <c r="F16" s="41"/>
      <c r="G16" s="42"/>
      <c r="H16" s="41"/>
      <c r="I16" s="42"/>
    </row>
    <row r="17" spans="1:9" ht="21.75" customHeight="1">
      <c r="A17" s="187" t="s">
        <v>210</v>
      </c>
      <c r="B17" s="38" t="s">
        <v>181</v>
      </c>
      <c r="C17" s="41"/>
      <c r="D17" s="41"/>
      <c r="E17" s="41"/>
      <c r="F17" s="41"/>
      <c r="G17" s="42"/>
      <c r="H17" s="41"/>
      <c r="I17" s="42"/>
    </row>
    <row r="18" spans="1:9" ht="21" customHeight="1">
      <c r="A18" s="187" t="s">
        <v>211</v>
      </c>
      <c r="B18" s="38" t="s">
        <v>181</v>
      </c>
      <c r="C18" s="41"/>
      <c r="D18" s="41"/>
      <c r="E18" s="41"/>
      <c r="F18" s="41"/>
      <c r="G18" s="42"/>
      <c r="H18" s="41"/>
      <c r="I18" s="42"/>
    </row>
    <row r="19" spans="1:9" ht="23.25" customHeight="1">
      <c r="A19" s="187" t="s">
        <v>212</v>
      </c>
      <c r="B19" s="38" t="s">
        <v>181</v>
      </c>
      <c r="C19" s="41"/>
      <c r="D19" s="41"/>
      <c r="E19" s="41"/>
      <c r="F19" s="41"/>
      <c r="G19" s="42"/>
      <c r="H19" s="41"/>
      <c r="I19" s="42"/>
    </row>
    <row r="20" spans="1:9" ht="21.75" customHeight="1">
      <c r="A20" s="187" t="s">
        <v>213</v>
      </c>
      <c r="B20" s="38" t="s">
        <v>181</v>
      </c>
      <c r="C20" s="41"/>
      <c r="D20" s="41"/>
      <c r="E20" s="41"/>
      <c r="F20" s="41"/>
      <c r="G20" s="42"/>
      <c r="H20" s="41"/>
      <c r="I20" s="42"/>
    </row>
    <row r="21" spans="1:9" ht="20.25" customHeight="1">
      <c r="A21" s="187" t="s">
        <v>214</v>
      </c>
      <c r="B21" s="38" t="s">
        <v>181</v>
      </c>
      <c r="C21" s="41"/>
      <c r="D21" s="41"/>
      <c r="E21" s="41"/>
      <c r="F21" s="41"/>
      <c r="G21" s="42"/>
      <c r="H21" s="41"/>
      <c r="I21" s="42"/>
    </row>
    <row r="22" spans="1:9" ht="41.25" customHeight="1">
      <c r="A22" s="37" t="s">
        <v>183</v>
      </c>
      <c r="B22" s="38" t="s">
        <v>181</v>
      </c>
      <c r="C22" s="39">
        <v>74049</v>
      </c>
      <c r="D22" s="39">
        <v>94044</v>
      </c>
      <c r="E22" s="39">
        <v>95153</v>
      </c>
      <c r="F22" s="39">
        <v>104356</v>
      </c>
      <c r="G22" s="40">
        <v>109082</v>
      </c>
      <c r="H22" s="39">
        <v>114021</v>
      </c>
      <c r="I22" s="40">
        <v>117442</v>
      </c>
    </row>
    <row r="23" spans="1:9" ht="35.25" customHeight="1">
      <c r="A23" s="43" t="s">
        <v>184</v>
      </c>
      <c r="B23" s="38" t="s">
        <v>12</v>
      </c>
      <c r="C23" s="38">
        <v>0</v>
      </c>
      <c r="D23" s="38">
        <v>0</v>
      </c>
      <c r="E23" s="38">
        <v>0</v>
      </c>
      <c r="F23" s="38">
        <v>0</v>
      </c>
      <c r="G23" s="38">
        <v>0</v>
      </c>
      <c r="H23" s="38">
        <v>0</v>
      </c>
      <c r="I23" s="38">
        <v>0</v>
      </c>
    </row>
    <row r="24" spans="1:9" ht="36.75" customHeight="1">
      <c r="A24" s="37" t="s">
        <v>185</v>
      </c>
      <c r="B24" s="38" t="s">
        <v>181</v>
      </c>
      <c r="C24" s="39">
        <v>967</v>
      </c>
      <c r="D24" s="39">
        <v>713</v>
      </c>
      <c r="E24" s="39">
        <v>1437</v>
      </c>
      <c r="F24" s="39">
        <v>5971</v>
      </c>
      <c r="G24" s="40">
        <v>7582</v>
      </c>
      <c r="H24" s="39">
        <v>7621</v>
      </c>
      <c r="I24" s="40">
        <v>6442</v>
      </c>
    </row>
    <row r="25" spans="1:9" ht="43.5" customHeight="1">
      <c r="A25" s="37" t="s">
        <v>186</v>
      </c>
      <c r="B25" s="38" t="s">
        <v>181</v>
      </c>
      <c r="C25" s="39">
        <v>73082</v>
      </c>
      <c r="D25" s="39">
        <v>93331</v>
      </c>
      <c r="E25" s="39">
        <v>93716</v>
      </c>
      <c r="F25" s="39">
        <v>98385</v>
      </c>
      <c r="G25" s="40">
        <v>101500</v>
      </c>
      <c r="H25" s="39">
        <v>106400</v>
      </c>
      <c r="I25" s="40">
        <v>111000</v>
      </c>
    </row>
    <row r="26" spans="1:9" ht="34.5" customHeight="1">
      <c r="A26" s="37" t="s">
        <v>187</v>
      </c>
      <c r="B26" s="38" t="s">
        <v>13</v>
      </c>
      <c r="C26" s="231">
        <f>C25/C22</f>
        <v>0.9869410795554295</v>
      </c>
      <c r="D26" s="231">
        <f aca="true" t="shared" si="0" ref="D26:I26">D25/D22</f>
        <v>0.9924184424312024</v>
      </c>
      <c r="E26" s="231">
        <f t="shared" si="0"/>
        <v>0.9848980063686904</v>
      </c>
      <c r="F26" s="231">
        <f t="shared" si="0"/>
        <v>0.9427823987121009</v>
      </c>
      <c r="G26" s="231">
        <f t="shared" si="0"/>
        <v>0.9304926569003136</v>
      </c>
      <c r="H26" s="231">
        <f t="shared" si="0"/>
        <v>0.9331614351742223</v>
      </c>
      <c r="I26" s="231">
        <f t="shared" si="0"/>
        <v>0.9451473919040888</v>
      </c>
    </row>
    <row r="27" spans="1:9" ht="30.75" customHeight="1">
      <c r="A27" s="37" t="s">
        <v>188</v>
      </c>
      <c r="B27" s="38"/>
      <c r="C27" s="39"/>
      <c r="D27" s="39"/>
      <c r="E27" s="39"/>
      <c r="F27" s="39"/>
      <c r="G27" s="40"/>
      <c r="H27" s="39"/>
      <c r="I27" s="40"/>
    </row>
    <row r="28" spans="1:9" ht="15.75">
      <c r="A28" s="43" t="s">
        <v>189</v>
      </c>
      <c r="B28" s="38" t="s">
        <v>12</v>
      </c>
      <c r="C28" s="39">
        <v>1.6</v>
      </c>
      <c r="D28" s="39">
        <v>1</v>
      </c>
      <c r="E28" s="39">
        <v>1.7</v>
      </c>
      <c r="F28" s="39">
        <v>1.7</v>
      </c>
      <c r="G28" s="40">
        <v>2</v>
      </c>
      <c r="H28" s="40">
        <v>2</v>
      </c>
      <c r="I28" s="40">
        <v>2</v>
      </c>
    </row>
    <row r="29" spans="1:9" ht="15.75">
      <c r="A29" s="43" t="s">
        <v>190</v>
      </c>
      <c r="B29" s="38" t="s">
        <v>12</v>
      </c>
      <c r="C29" s="39">
        <v>0.1</v>
      </c>
      <c r="D29" s="39">
        <v>0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</row>
    <row r="30" spans="1:9" ht="15.75">
      <c r="A30" s="43" t="s">
        <v>191</v>
      </c>
      <c r="B30" s="38" t="s">
        <v>12</v>
      </c>
      <c r="C30" s="39">
        <v>4.2</v>
      </c>
      <c r="D30" s="39">
        <v>2.3</v>
      </c>
      <c r="E30" s="39">
        <v>3.5</v>
      </c>
      <c r="F30" s="39">
        <v>3.5</v>
      </c>
      <c r="G30" s="40">
        <v>4.6</v>
      </c>
      <c r="H30" s="40">
        <v>4.6</v>
      </c>
      <c r="I30" s="40">
        <v>4.6</v>
      </c>
    </row>
    <row r="31" spans="1:9" ht="15.75">
      <c r="A31" s="43" t="s">
        <v>192</v>
      </c>
      <c r="B31" s="38" t="s">
        <v>12</v>
      </c>
      <c r="C31" s="39"/>
      <c r="D31" s="39"/>
      <c r="E31" s="39"/>
      <c r="F31" s="39"/>
      <c r="G31" s="40"/>
      <c r="H31" s="39"/>
      <c r="I31" s="40"/>
    </row>
    <row r="32" spans="1:9" ht="34.5" customHeight="1">
      <c r="A32" s="37" t="s">
        <v>193</v>
      </c>
      <c r="B32" s="38"/>
      <c r="C32" s="39"/>
      <c r="D32" s="39"/>
      <c r="E32" s="39"/>
      <c r="F32" s="39"/>
      <c r="G32" s="40"/>
      <c r="H32" s="39"/>
      <c r="I32" s="40"/>
    </row>
    <row r="33" spans="1:9" ht="15.75">
      <c r="A33" s="44" t="s">
        <v>194</v>
      </c>
      <c r="B33" s="38" t="s">
        <v>181</v>
      </c>
      <c r="C33" s="39">
        <v>4045.4</v>
      </c>
      <c r="D33" s="39">
        <v>9513.6</v>
      </c>
      <c r="E33" s="39">
        <v>10100</v>
      </c>
      <c r="F33" s="39">
        <v>10100</v>
      </c>
      <c r="G33" s="40">
        <v>10686</v>
      </c>
      <c r="H33" s="39">
        <v>11120</v>
      </c>
      <c r="I33" s="40">
        <v>12000</v>
      </c>
    </row>
    <row r="34" spans="1:9" ht="15.75">
      <c r="A34" s="44" t="s">
        <v>195</v>
      </c>
      <c r="B34" s="38" t="s">
        <v>181</v>
      </c>
      <c r="C34" s="39">
        <v>4014.5</v>
      </c>
      <c r="D34" s="39">
        <v>8565.9</v>
      </c>
      <c r="E34" s="39">
        <v>10100</v>
      </c>
      <c r="F34" s="39">
        <v>10100</v>
      </c>
      <c r="G34" s="40">
        <v>10686</v>
      </c>
      <c r="H34" s="39">
        <v>11120</v>
      </c>
      <c r="I34" s="40">
        <v>12000</v>
      </c>
    </row>
    <row r="35" spans="1:9" ht="31.5">
      <c r="A35" s="43" t="s">
        <v>196</v>
      </c>
      <c r="B35" s="38" t="s">
        <v>181</v>
      </c>
      <c r="C35" s="39"/>
      <c r="D35" s="39"/>
      <c r="E35" s="39"/>
      <c r="F35" s="39"/>
      <c r="G35" s="40"/>
      <c r="H35" s="39"/>
      <c r="I35" s="40"/>
    </row>
    <row r="36" spans="1:9" ht="15.75">
      <c r="A36" s="44" t="s">
        <v>194</v>
      </c>
      <c r="B36" s="38" t="s">
        <v>181</v>
      </c>
      <c r="C36" s="39"/>
      <c r="D36" s="39"/>
      <c r="E36" s="39"/>
      <c r="F36" s="39"/>
      <c r="G36" s="40"/>
      <c r="H36" s="39"/>
      <c r="I36" s="40"/>
    </row>
    <row r="37" spans="1:9" ht="15.75">
      <c r="A37" s="44" t="s">
        <v>195</v>
      </c>
      <c r="B37" s="38" t="s">
        <v>181</v>
      </c>
      <c r="C37" s="39"/>
      <c r="D37" s="39"/>
      <c r="E37" s="39"/>
      <c r="F37" s="39"/>
      <c r="G37" s="40"/>
      <c r="H37" s="39"/>
      <c r="I37" s="40"/>
    </row>
    <row r="38" spans="1:9" ht="33" customHeight="1">
      <c r="A38" s="37" t="s">
        <v>197</v>
      </c>
      <c r="B38" s="38" t="s">
        <v>181</v>
      </c>
      <c r="C38" s="39">
        <v>586</v>
      </c>
      <c r="D38" s="39">
        <v>1669</v>
      </c>
      <c r="E38" s="39">
        <v>0</v>
      </c>
      <c r="F38" s="39">
        <v>0</v>
      </c>
      <c r="G38" s="39">
        <v>0</v>
      </c>
      <c r="H38" s="39">
        <v>0</v>
      </c>
      <c r="I38" s="39">
        <v>0</v>
      </c>
    </row>
    <row r="39" spans="1:9" ht="15.75">
      <c r="A39" s="43" t="s">
        <v>198</v>
      </c>
      <c r="B39" s="38"/>
      <c r="C39" s="39"/>
      <c r="D39" s="39"/>
      <c r="E39" s="39"/>
      <c r="F39" s="39"/>
      <c r="G39" s="40"/>
      <c r="H39" s="39"/>
      <c r="I39" s="40"/>
    </row>
    <row r="40" spans="1:9" ht="15.75">
      <c r="A40" s="44" t="s">
        <v>199</v>
      </c>
      <c r="B40" s="38" t="s">
        <v>181</v>
      </c>
      <c r="C40" s="39">
        <v>586</v>
      </c>
      <c r="D40" s="39">
        <v>1669</v>
      </c>
      <c r="E40" s="39">
        <v>0</v>
      </c>
      <c r="F40" s="39">
        <v>0</v>
      </c>
      <c r="G40" s="39">
        <v>0</v>
      </c>
      <c r="H40" s="39">
        <v>0</v>
      </c>
      <c r="I40" s="39">
        <v>0</v>
      </c>
    </row>
    <row r="41" spans="1:9" ht="15.75">
      <c r="A41" s="44" t="s">
        <v>200</v>
      </c>
      <c r="B41" s="38" t="s">
        <v>181</v>
      </c>
      <c r="C41" s="39"/>
      <c r="D41" s="39"/>
      <c r="E41" s="39"/>
      <c r="F41" s="39"/>
      <c r="G41" s="40"/>
      <c r="H41" s="39"/>
      <c r="I41" s="40"/>
    </row>
    <row r="42" spans="1:9" ht="15.75">
      <c r="A42" s="44" t="s">
        <v>201</v>
      </c>
      <c r="B42" s="38" t="s">
        <v>181</v>
      </c>
      <c r="C42" s="39"/>
      <c r="D42" s="39"/>
      <c r="E42" s="39"/>
      <c r="F42" s="39"/>
      <c r="G42" s="40"/>
      <c r="H42" s="39"/>
      <c r="I42" s="40"/>
    </row>
    <row r="43" spans="1:9" ht="32.25" customHeight="1">
      <c r="A43" s="37" t="s">
        <v>202</v>
      </c>
      <c r="B43" s="38" t="s">
        <v>203</v>
      </c>
      <c r="C43" s="58">
        <v>272</v>
      </c>
      <c r="D43" s="58">
        <v>253</v>
      </c>
      <c r="E43" s="58">
        <v>225</v>
      </c>
      <c r="F43" s="58">
        <v>225</v>
      </c>
      <c r="G43" s="58">
        <v>225</v>
      </c>
      <c r="H43" s="58">
        <v>225</v>
      </c>
      <c r="I43" s="58">
        <v>225</v>
      </c>
    </row>
    <row r="44" spans="1:9" ht="32.25" customHeight="1">
      <c r="A44" s="37" t="s">
        <v>204</v>
      </c>
      <c r="B44" s="38" t="s">
        <v>14</v>
      </c>
      <c r="C44" s="58"/>
      <c r="D44" s="58"/>
      <c r="E44" s="58"/>
      <c r="F44" s="58"/>
      <c r="G44" s="63"/>
      <c r="H44" s="58"/>
      <c r="I44" s="63"/>
    </row>
    <row r="45" spans="1:9" ht="34.5" customHeight="1">
      <c r="A45" s="37" t="s">
        <v>205</v>
      </c>
      <c r="B45" s="38" t="s">
        <v>181</v>
      </c>
      <c r="C45" s="58">
        <v>95703</v>
      </c>
      <c r="D45" s="58">
        <v>144547</v>
      </c>
      <c r="E45" s="58">
        <v>129836</v>
      </c>
      <c r="F45" s="58">
        <v>132434</v>
      </c>
      <c r="G45" s="58">
        <v>132434</v>
      </c>
      <c r="H45" s="58">
        <v>135080</v>
      </c>
      <c r="I45" s="63">
        <v>137780</v>
      </c>
    </row>
    <row r="46" spans="1:9" ht="34.5" customHeight="1" thickBot="1">
      <c r="A46" s="45" t="s">
        <v>206</v>
      </c>
      <c r="B46" s="46" t="s">
        <v>181</v>
      </c>
      <c r="C46" s="232">
        <v>0</v>
      </c>
      <c r="D46" s="232">
        <v>0</v>
      </c>
      <c r="E46" s="232">
        <v>0</v>
      </c>
      <c r="F46" s="232">
        <v>0</v>
      </c>
      <c r="G46" s="232">
        <v>0</v>
      </c>
      <c r="H46" s="232">
        <v>0</v>
      </c>
      <c r="I46" s="232">
        <v>0</v>
      </c>
    </row>
    <row r="47" spans="1:10" ht="13.5" customHeight="1">
      <c r="A47" s="47"/>
      <c r="B47" s="34"/>
      <c r="C47" s="48"/>
      <c r="D47" s="48"/>
      <c r="E47" s="48"/>
      <c r="F47" s="48"/>
      <c r="G47" s="48"/>
      <c r="H47" s="48"/>
      <c r="I47" s="48"/>
      <c r="J47" s="48"/>
    </row>
    <row r="48" spans="1:10" ht="19.5" customHeight="1" thickBot="1">
      <c r="A48" s="49"/>
      <c r="B48" s="50"/>
      <c r="C48" s="32"/>
      <c r="D48" s="32"/>
      <c r="E48" s="32"/>
      <c r="F48" s="32"/>
      <c r="G48" s="32"/>
      <c r="H48" s="32"/>
      <c r="I48" s="32"/>
      <c r="J48" s="32"/>
    </row>
    <row r="49" spans="1:9" ht="15.75" customHeight="1">
      <c r="A49" s="450" t="s">
        <v>207</v>
      </c>
      <c r="B49" s="430" t="s">
        <v>176</v>
      </c>
      <c r="C49" s="417" t="s">
        <v>265</v>
      </c>
      <c r="D49" s="417" t="s">
        <v>342</v>
      </c>
      <c r="E49" s="417" t="s">
        <v>343</v>
      </c>
      <c r="F49" s="420" t="s">
        <v>177</v>
      </c>
      <c r="G49" s="413"/>
      <c r="H49" s="413"/>
      <c r="I49" s="414"/>
    </row>
    <row r="50" spans="1:9" ht="15.75" customHeight="1">
      <c r="A50" s="451"/>
      <c r="B50" s="418"/>
      <c r="C50" s="418"/>
      <c r="D50" s="418"/>
      <c r="E50" s="418"/>
      <c r="F50" s="421">
        <v>2015</v>
      </c>
      <c r="G50" s="422"/>
      <c r="H50" s="423" t="s">
        <v>241</v>
      </c>
      <c r="I50" s="424" t="s">
        <v>330</v>
      </c>
    </row>
    <row r="51" spans="1:9" ht="18.75" customHeight="1" thickBot="1">
      <c r="A51" s="458"/>
      <c r="B51" s="459"/>
      <c r="C51" s="419"/>
      <c r="D51" s="419"/>
      <c r="E51" s="419"/>
      <c r="F51" s="204" t="s">
        <v>79</v>
      </c>
      <c r="G51" s="229" t="s">
        <v>2</v>
      </c>
      <c r="H51" s="411"/>
      <c r="I51" s="409"/>
    </row>
    <row r="52" spans="1:9" ht="18.75" customHeight="1">
      <c r="A52" s="264" t="s">
        <v>41</v>
      </c>
      <c r="B52" s="159" t="s">
        <v>220</v>
      </c>
      <c r="C52" s="233">
        <v>0.15</v>
      </c>
      <c r="D52" s="233">
        <v>0</v>
      </c>
      <c r="E52" s="233">
        <v>0</v>
      </c>
      <c r="F52" s="233">
        <v>0</v>
      </c>
      <c r="G52" s="233">
        <v>0</v>
      </c>
      <c r="H52" s="233">
        <v>0</v>
      </c>
      <c r="I52" s="233">
        <v>0</v>
      </c>
    </row>
    <row r="53" spans="1:9" ht="18.75" customHeight="1">
      <c r="A53" s="59" t="s">
        <v>221</v>
      </c>
      <c r="B53" s="53" t="s">
        <v>220</v>
      </c>
      <c r="C53" s="233">
        <v>0</v>
      </c>
      <c r="D53" s="233">
        <v>0</v>
      </c>
      <c r="E53" s="233">
        <v>0</v>
      </c>
      <c r="F53" s="233">
        <v>0</v>
      </c>
      <c r="G53" s="233">
        <v>0</v>
      </c>
      <c r="H53" s="233">
        <v>0</v>
      </c>
      <c r="I53" s="233">
        <v>0</v>
      </c>
    </row>
    <row r="54" spans="1:9" ht="18.75" customHeight="1">
      <c r="A54" s="59" t="s">
        <v>222</v>
      </c>
      <c r="B54" s="53" t="s">
        <v>220</v>
      </c>
      <c r="C54" s="233">
        <v>4.4</v>
      </c>
      <c r="D54" s="233">
        <v>4.2</v>
      </c>
      <c r="E54" s="233">
        <v>2.5</v>
      </c>
      <c r="F54" s="233">
        <v>3</v>
      </c>
      <c r="G54" s="233">
        <v>4</v>
      </c>
      <c r="H54" s="233">
        <v>4</v>
      </c>
      <c r="I54" s="233">
        <v>4</v>
      </c>
    </row>
    <row r="55" spans="1:9" ht="18.75" customHeight="1">
      <c r="A55" s="59" t="s">
        <v>97</v>
      </c>
      <c r="B55" s="53" t="s">
        <v>220</v>
      </c>
      <c r="C55" s="233">
        <v>2.6</v>
      </c>
      <c r="D55" s="233">
        <v>4.8</v>
      </c>
      <c r="E55" s="233">
        <v>6.8</v>
      </c>
      <c r="F55" s="233">
        <v>9</v>
      </c>
      <c r="G55" s="233">
        <v>9</v>
      </c>
      <c r="H55" s="233">
        <v>9</v>
      </c>
      <c r="I55" s="233">
        <v>9</v>
      </c>
    </row>
    <row r="56" spans="1:9" ht="18.75" customHeight="1">
      <c r="A56" s="59" t="s">
        <v>98</v>
      </c>
      <c r="B56" s="53" t="s">
        <v>220</v>
      </c>
      <c r="C56" s="233">
        <v>20.9</v>
      </c>
      <c r="D56" s="233">
        <v>18.7</v>
      </c>
      <c r="E56" s="233">
        <v>8.8</v>
      </c>
      <c r="F56" s="233">
        <v>9</v>
      </c>
      <c r="G56" s="233">
        <v>10</v>
      </c>
      <c r="H56" s="233">
        <v>10</v>
      </c>
      <c r="I56" s="233">
        <v>10</v>
      </c>
    </row>
    <row r="57" spans="1:9" ht="30" customHeight="1">
      <c r="A57" s="59" t="s">
        <v>223</v>
      </c>
      <c r="B57" s="53" t="s">
        <v>220</v>
      </c>
      <c r="C57" s="233">
        <v>2</v>
      </c>
      <c r="D57" s="233">
        <v>0.8</v>
      </c>
      <c r="E57" s="233">
        <v>2.5</v>
      </c>
      <c r="F57" s="233">
        <v>3</v>
      </c>
      <c r="G57" s="233">
        <v>5</v>
      </c>
      <c r="H57" s="233">
        <v>5</v>
      </c>
      <c r="I57" s="233">
        <v>5</v>
      </c>
    </row>
    <row r="58" spans="1:9" ht="18.75" customHeight="1">
      <c r="A58" s="59" t="s">
        <v>46</v>
      </c>
      <c r="B58" s="53" t="s">
        <v>224</v>
      </c>
      <c r="C58" s="233">
        <v>0</v>
      </c>
      <c r="D58" s="233">
        <v>0</v>
      </c>
      <c r="E58" s="233">
        <v>0</v>
      </c>
      <c r="F58" s="233">
        <v>0</v>
      </c>
      <c r="G58" s="233">
        <v>0</v>
      </c>
      <c r="H58" s="233">
        <v>0</v>
      </c>
      <c r="I58" s="233">
        <v>0</v>
      </c>
    </row>
    <row r="59" spans="1:9" ht="18.75" customHeight="1">
      <c r="A59" s="59" t="s">
        <v>225</v>
      </c>
      <c r="B59" s="53" t="s">
        <v>220</v>
      </c>
      <c r="C59" s="203">
        <v>0.04</v>
      </c>
      <c r="D59" s="203">
        <v>0.06</v>
      </c>
      <c r="E59" s="203">
        <v>0.5</v>
      </c>
      <c r="F59" s="203">
        <v>0.5</v>
      </c>
      <c r="G59" s="203">
        <v>0.5</v>
      </c>
      <c r="H59" s="203">
        <v>0.5</v>
      </c>
      <c r="I59" s="203">
        <v>0.5</v>
      </c>
    </row>
    <row r="60" spans="1:9" ht="18.75" customHeight="1">
      <c r="A60" s="355" t="s">
        <v>84</v>
      </c>
      <c r="B60" s="203" t="s">
        <v>23</v>
      </c>
      <c r="C60" s="233">
        <v>10</v>
      </c>
      <c r="D60" s="233">
        <v>31.5</v>
      </c>
      <c r="E60" s="233">
        <v>30</v>
      </c>
      <c r="F60" s="233">
        <v>30</v>
      </c>
      <c r="G60" s="233">
        <v>30</v>
      </c>
      <c r="H60" s="233">
        <v>30</v>
      </c>
      <c r="I60" s="233">
        <v>30</v>
      </c>
    </row>
    <row r="61" spans="1:9" ht="18.75" customHeight="1">
      <c r="A61" s="355" t="s">
        <v>26</v>
      </c>
      <c r="B61" s="203" t="s">
        <v>23</v>
      </c>
      <c r="C61" s="233">
        <v>11.6</v>
      </c>
      <c r="D61" s="233">
        <v>14</v>
      </c>
      <c r="E61" s="233">
        <v>10</v>
      </c>
      <c r="F61" s="233">
        <v>12</v>
      </c>
      <c r="G61" s="233">
        <v>12</v>
      </c>
      <c r="H61" s="233">
        <v>12</v>
      </c>
      <c r="I61" s="233">
        <v>12</v>
      </c>
    </row>
    <row r="62" spans="1:9" ht="18.75" customHeight="1">
      <c r="A62" s="355" t="s">
        <v>27</v>
      </c>
      <c r="B62" s="203" t="s">
        <v>23</v>
      </c>
      <c r="C62" s="233">
        <v>1</v>
      </c>
      <c r="D62" s="233">
        <v>0.2</v>
      </c>
      <c r="E62" s="233">
        <v>0</v>
      </c>
      <c r="F62" s="233">
        <v>1</v>
      </c>
      <c r="G62" s="233">
        <v>1</v>
      </c>
      <c r="H62" s="233">
        <v>1</v>
      </c>
      <c r="I62" s="233">
        <v>1</v>
      </c>
    </row>
    <row r="63" spans="1:9" ht="18.75" customHeight="1">
      <c r="A63" s="355" t="s">
        <v>34</v>
      </c>
      <c r="B63" s="203" t="s">
        <v>23</v>
      </c>
      <c r="C63" s="233">
        <v>0</v>
      </c>
      <c r="D63" s="233">
        <v>0</v>
      </c>
      <c r="E63" s="233">
        <v>0</v>
      </c>
      <c r="F63" s="233">
        <v>0</v>
      </c>
      <c r="G63" s="233">
        <v>0</v>
      </c>
      <c r="H63" s="233">
        <v>0</v>
      </c>
      <c r="I63" s="233">
        <v>0</v>
      </c>
    </row>
    <row r="64" spans="1:9" ht="18.75" customHeight="1">
      <c r="A64" s="355" t="s">
        <v>35</v>
      </c>
      <c r="B64" s="203" t="s">
        <v>23</v>
      </c>
      <c r="C64" s="233">
        <v>60</v>
      </c>
      <c r="D64" s="233">
        <v>0</v>
      </c>
      <c r="E64" s="233">
        <v>0</v>
      </c>
      <c r="F64" s="233">
        <v>0</v>
      </c>
      <c r="G64" s="233">
        <v>0</v>
      </c>
      <c r="H64" s="233">
        <v>0</v>
      </c>
      <c r="I64" s="233">
        <v>0</v>
      </c>
    </row>
    <row r="65" spans="1:9" ht="18.75" customHeight="1">
      <c r="A65" s="355" t="s">
        <v>36</v>
      </c>
      <c r="B65" s="203" t="s">
        <v>23</v>
      </c>
      <c r="C65" s="233">
        <v>12.8</v>
      </c>
      <c r="D65" s="233">
        <v>185</v>
      </c>
      <c r="E65" s="233">
        <v>193</v>
      </c>
      <c r="F65" s="233">
        <v>185</v>
      </c>
      <c r="G65" s="233">
        <v>193</v>
      </c>
      <c r="H65" s="233">
        <v>193</v>
      </c>
      <c r="I65" s="233">
        <v>193</v>
      </c>
    </row>
    <row r="66" spans="1:9" ht="18.75" customHeight="1">
      <c r="A66" s="355" t="s">
        <v>37</v>
      </c>
      <c r="B66" s="203" t="s">
        <v>23</v>
      </c>
      <c r="C66" s="233">
        <v>7.4</v>
      </c>
      <c r="D66" s="233">
        <v>4</v>
      </c>
      <c r="E66" s="233">
        <v>3</v>
      </c>
      <c r="F66" s="233">
        <v>3</v>
      </c>
      <c r="G66" s="233">
        <v>4</v>
      </c>
      <c r="H66" s="233">
        <v>4</v>
      </c>
      <c r="I66" s="233">
        <v>4</v>
      </c>
    </row>
    <row r="67" spans="1:9" ht="18.75" customHeight="1">
      <c r="A67" s="355" t="s">
        <v>38</v>
      </c>
      <c r="B67" s="203" t="s">
        <v>23</v>
      </c>
      <c r="C67" s="233">
        <v>0</v>
      </c>
      <c r="D67" s="233">
        <v>11</v>
      </c>
      <c r="E67" s="233">
        <v>12</v>
      </c>
      <c r="F67" s="233">
        <v>11</v>
      </c>
      <c r="G67" s="233">
        <v>12</v>
      </c>
      <c r="H67" s="233">
        <v>12</v>
      </c>
      <c r="I67" s="233">
        <v>12</v>
      </c>
    </row>
    <row r="68" spans="1:9" ht="18.75" customHeight="1">
      <c r="A68" s="355" t="s">
        <v>32</v>
      </c>
      <c r="B68" s="203" t="s">
        <v>23</v>
      </c>
      <c r="C68" s="233">
        <v>133.7</v>
      </c>
      <c r="D68" s="233">
        <v>198</v>
      </c>
      <c r="E68" s="233">
        <v>200</v>
      </c>
      <c r="F68" s="233">
        <v>200</v>
      </c>
      <c r="G68" s="233">
        <v>200</v>
      </c>
      <c r="H68" s="233">
        <v>200</v>
      </c>
      <c r="I68" s="233">
        <v>200</v>
      </c>
    </row>
    <row r="69" spans="1:9" ht="36.75" customHeight="1">
      <c r="A69" s="355" t="s">
        <v>49</v>
      </c>
      <c r="B69" s="203" t="s">
        <v>22</v>
      </c>
      <c r="C69" s="203">
        <v>1.4</v>
      </c>
      <c r="D69" s="203">
        <v>1.3</v>
      </c>
      <c r="E69" s="203">
        <v>1.3</v>
      </c>
      <c r="F69" s="203">
        <v>2.8</v>
      </c>
      <c r="G69" s="203">
        <v>2.8</v>
      </c>
      <c r="H69" s="203">
        <v>2.8</v>
      </c>
      <c r="I69" s="203">
        <v>2.8</v>
      </c>
    </row>
    <row r="70" spans="1:9" ht="28.5" customHeight="1">
      <c r="A70" s="356" t="s">
        <v>69</v>
      </c>
      <c r="B70" s="357" t="s">
        <v>51</v>
      </c>
      <c r="C70" s="203">
        <v>2.7</v>
      </c>
      <c r="D70" s="203">
        <v>2.7</v>
      </c>
      <c r="E70" s="203">
        <v>2.7</v>
      </c>
      <c r="F70" s="203">
        <v>6</v>
      </c>
      <c r="G70" s="203">
        <v>6</v>
      </c>
      <c r="H70" s="203">
        <v>6</v>
      </c>
      <c r="I70" s="203">
        <v>6</v>
      </c>
    </row>
    <row r="71" spans="1:9" ht="18.75" customHeight="1">
      <c r="A71" s="356" t="s">
        <v>363</v>
      </c>
      <c r="B71" s="203" t="s">
        <v>23</v>
      </c>
      <c r="C71" s="233">
        <v>1.1</v>
      </c>
      <c r="D71" s="233">
        <v>0.6</v>
      </c>
      <c r="E71" s="233">
        <v>1</v>
      </c>
      <c r="F71" s="233">
        <v>1</v>
      </c>
      <c r="G71" s="233">
        <v>1.5</v>
      </c>
      <c r="H71" s="233">
        <v>1</v>
      </c>
      <c r="I71" s="233">
        <v>1</v>
      </c>
    </row>
    <row r="72" spans="1:9" ht="15.75">
      <c r="A72" s="356" t="s">
        <v>72</v>
      </c>
      <c r="B72" s="203" t="s">
        <v>50</v>
      </c>
      <c r="C72" s="233">
        <v>57.6</v>
      </c>
      <c r="D72" s="233">
        <v>340</v>
      </c>
      <c r="E72" s="233">
        <v>300</v>
      </c>
      <c r="F72" s="233">
        <v>325</v>
      </c>
      <c r="G72" s="233">
        <v>325</v>
      </c>
      <c r="H72" s="233">
        <v>325</v>
      </c>
      <c r="I72" s="233">
        <v>325</v>
      </c>
    </row>
    <row r="73" spans="1:9" ht="22.5" customHeight="1" thickBot="1">
      <c r="A73" s="358" t="s">
        <v>71</v>
      </c>
      <c r="B73" s="359" t="s">
        <v>23</v>
      </c>
      <c r="C73" s="233">
        <v>59</v>
      </c>
      <c r="D73" s="233">
        <v>22.7</v>
      </c>
      <c r="E73" s="233">
        <v>60</v>
      </c>
      <c r="F73" s="233">
        <v>60</v>
      </c>
      <c r="G73" s="233">
        <v>60</v>
      </c>
      <c r="H73" s="233">
        <v>60</v>
      </c>
      <c r="I73" s="233">
        <v>60</v>
      </c>
    </row>
    <row r="74" spans="1:9" ht="22.5" customHeight="1">
      <c r="A74" s="360"/>
      <c r="B74" s="361"/>
      <c r="C74" s="362"/>
      <c r="D74" s="362"/>
      <c r="E74" s="362"/>
      <c r="F74" s="362"/>
      <c r="G74" s="362"/>
      <c r="H74" s="362"/>
      <c r="I74" s="362"/>
    </row>
    <row r="75" spans="1:10" s="148" customFormat="1" ht="22.5" customHeight="1">
      <c r="A75" s="188" t="s">
        <v>279</v>
      </c>
      <c r="B75" s="470" t="s">
        <v>362</v>
      </c>
      <c r="C75" s="470"/>
      <c r="D75" s="470"/>
      <c r="E75" s="470"/>
      <c r="F75" s="470"/>
      <c r="G75" s="470"/>
      <c r="H75" s="470"/>
      <c r="I75" s="470"/>
      <c r="J75" s="470"/>
    </row>
    <row r="76" spans="1:10" s="148" customFormat="1" ht="22.5" customHeight="1">
      <c r="A76" s="57"/>
      <c r="B76" s="57"/>
      <c r="C76" s="48"/>
      <c r="D76" s="48"/>
      <c r="E76" s="48"/>
      <c r="F76" s="48"/>
      <c r="G76" s="48"/>
      <c r="H76" s="48"/>
      <c r="I76" s="48"/>
      <c r="J76" s="48"/>
    </row>
    <row r="77" spans="1:10" s="148" customFormat="1" ht="22.5" customHeight="1">
      <c r="A77" s="57"/>
      <c r="B77" s="57"/>
      <c r="C77" s="48"/>
      <c r="D77" s="48"/>
      <c r="E77" s="48"/>
      <c r="F77" s="48"/>
      <c r="G77" s="48"/>
      <c r="H77" s="48"/>
      <c r="I77" s="48"/>
      <c r="J77" s="48"/>
    </row>
    <row r="78" spans="1:10" s="148" customFormat="1" ht="22.5" customHeight="1">
      <c r="A78" s="57"/>
      <c r="B78" s="57"/>
      <c r="C78" s="48"/>
      <c r="D78" s="48"/>
      <c r="E78" s="48"/>
      <c r="F78" s="48"/>
      <c r="G78" s="48"/>
      <c r="H78" s="48"/>
      <c r="I78" s="48"/>
      <c r="J78" s="48"/>
    </row>
    <row r="79" spans="1:10" s="148" customFormat="1" ht="22.5" customHeight="1">
      <c r="A79" s="57"/>
      <c r="B79" s="57"/>
      <c r="C79" s="48"/>
      <c r="D79" s="48"/>
      <c r="E79" s="48"/>
      <c r="F79" s="48"/>
      <c r="G79" s="48"/>
      <c r="H79" s="48"/>
      <c r="I79" s="48"/>
      <c r="J79" s="48"/>
    </row>
    <row r="80" spans="1:10" ht="27" customHeight="1">
      <c r="A80" s="188"/>
      <c r="B80" s="452"/>
      <c r="C80" s="452"/>
      <c r="D80" s="452"/>
      <c r="E80" s="452"/>
      <c r="F80" s="452"/>
      <c r="G80" s="452"/>
      <c r="H80" s="452"/>
      <c r="I80" s="452"/>
      <c r="J80" s="452"/>
    </row>
    <row r="81" spans="1:2" ht="7.5" customHeight="1">
      <c r="A81" s="51"/>
      <c r="B81" s="51"/>
    </row>
    <row r="82" spans="1:2" ht="12.75">
      <c r="A82" s="51"/>
      <c r="B82" s="51"/>
    </row>
    <row r="83" spans="1:2" ht="12.75">
      <c r="A83" s="51"/>
      <c r="B83" s="51"/>
    </row>
    <row r="84" spans="1:2" ht="12.75">
      <c r="A84" s="51"/>
      <c r="B84" s="51"/>
    </row>
    <row r="85" spans="1:2" ht="12.75">
      <c r="A85" s="51"/>
      <c r="B85" s="51"/>
    </row>
    <row r="86" spans="1:2" ht="12.75">
      <c r="A86" s="51"/>
      <c r="B86" s="51"/>
    </row>
    <row r="87" spans="1:2" ht="12.75">
      <c r="A87" s="51"/>
      <c r="B87" s="51"/>
    </row>
    <row r="88" spans="1:2" ht="12.75">
      <c r="A88" s="51"/>
      <c r="B88" s="51"/>
    </row>
    <row r="89" spans="1:2" ht="12.75">
      <c r="A89" s="51"/>
      <c r="B89" s="51"/>
    </row>
    <row r="90" spans="1:2" ht="12.75">
      <c r="A90" s="51"/>
      <c r="B90" s="51"/>
    </row>
    <row r="91" spans="1:2" ht="12.75">
      <c r="A91" s="51"/>
      <c r="B91" s="51"/>
    </row>
    <row r="92" spans="1:2" ht="12.75">
      <c r="A92" s="51"/>
      <c r="B92" s="51"/>
    </row>
    <row r="93" spans="1:2" ht="12.75">
      <c r="A93" s="51"/>
      <c r="B93" s="51"/>
    </row>
    <row r="94" spans="1:2" ht="12.75">
      <c r="A94" s="51"/>
      <c r="B94" s="51"/>
    </row>
    <row r="95" spans="1:2" ht="12.75">
      <c r="A95" s="51"/>
      <c r="B95" s="51"/>
    </row>
    <row r="96" spans="1:2" ht="12.75">
      <c r="A96" s="51"/>
      <c r="B96" s="51"/>
    </row>
    <row r="97" spans="1:2" ht="12.75">
      <c r="A97" s="51"/>
      <c r="B97" s="51"/>
    </row>
    <row r="98" spans="1:2" ht="12.75">
      <c r="A98" s="51"/>
      <c r="B98" s="51"/>
    </row>
    <row r="99" spans="1:2" ht="12.75">
      <c r="A99" s="51"/>
      <c r="B99" s="51"/>
    </row>
    <row r="100" spans="1:2" ht="12.75">
      <c r="A100" s="51"/>
      <c r="B100" s="51"/>
    </row>
    <row r="101" spans="1:2" ht="12.75">
      <c r="A101" s="51"/>
      <c r="B101" s="51"/>
    </row>
    <row r="102" spans="1:2" ht="12.75">
      <c r="A102" s="51"/>
      <c r="B102" s="51"/>
    </row>
    <row r="103" spans="1:2" ht="12.75">
      <c r="A103" s="51"/>
      <c r="B103" s="51"/>
    </row>
    <row r="104" spans="1:2" ht="12.75">
      <c r="A104" s="51"/>
      <c r="B104" s="51"/>
    </row>
    <row r="105" spans="1:2" ht="12.75">
      <c r="A105" s="51"/>
      <c r="B105" s="51"/>
    </row>
    <row r="106" spans="1:2" ht="12.75">
      <c r="A106" s="51"/>
      <c r="B106" s="51"/>
    </row>
    <row r="107" spans="1:2" ht="12.75">
      <c r="A107" s="51"/>
      <c r="B107" s="51"/>
    </row>
    <row r="108" spans="1:2" ht="12.75">
      <c r="A108" s="51"/>
      <c r="B108" s="51"/>
    </row>
    <row r="109" spans="1:2" ht="12.75">
      <c r="A109" s="51"/>
      <c r="B109" s="51"/>
    </row>
    <row r="110" spans="1:2" ht="12.75">
      <c r="A110" s="51"/>
      <c r="B110" s="51"/>
    </row>
    <row r="111" spans="1:2" ht="12.75">
      <c r="A111" s="51"/>
      <c r="B111" s="51"/>
    </row>
    <row r="112" spans="1:2" ht="12.75">
      <c r="A112" s="51"/>
      <c r="B112" s="51"/>
    </row>
    <row r="113" spans="1:2" ht="12.75">
      <c r="A113" s="51"/>
      <c r="B113" s="51"/>
    </row>
    <row r="114" spans="1:2" ht="12.75">
      <c r="A114" s="51"/>
      <c r="B114" s="51"/>
    </row>
    <row r="115" spans="1:2" ht="12.75">
      <c r="A115" s="51"/>
      <c r="B115" s="51"/>
    </row>
    <row r="116" spans="1:2" ht="12.75">
      <c r="A116" s="51"/>
      <c r="B116" s="51"/>
    </row>
    <row r="117" spans="1:2" ht="12.75">
      <c r="A117" s="51"/>
      <c r="B117" s="51"/>
    </row>
    <row r="118" spans="1:2" ht="12.75">
      <c r="A118" s="51"/>
      <c r="B118" s="51"/>
    </row>
    <row r="119" spans="1:2" ht="12.75">
      <c r="A119" s="51"/>
      <c r="B119" s="51"/>
    </row>
    <row r="120" spans="1:2" ht="12.75">
      <c r="A120" s="51"/>
      <c r="B120" s="51"/>
    </row>
    <row r="121" spans="1:2" ht="12.75">
      <c r="A121" s="51"/>
      <c r="B121" s="51"/>
    </row>
    <row r="122" spans="1:2" ht="12.75">
      <c r="A122" s="51"/>
      <c r="B122" s="51"/>
    </row>
    <row r="123" spans="1:2" ht="12.75">
      <c r="A123" s="51"/>
      <c r="B123" s="51"/>
    </row>
    <row r="124" spans="1:2" ht="12.75">
      <c r="A124" s="51"/>
      <c r="B124" s="51"/>
    </row>
    <row r="125" spans="1:2" ht="12.75">
      <c r="A125" s="51"/>
      <c r="B125" s="51"/>
    </row>
    <row r="126" spans="1:2" ht="12.75">
      <c r="A126" s="51"/>
      <c r="B126" s="51"/>
    </row>
    <row r="127" spans="1:2" ht="12.75">
      <c r="A127" s="51"/>
      <c r="B127" s="51"/>
    </row>
    <row r="128" spans="1:2" ht="12.75">
      <c r="A128" s="51"/>
      <c r="B128" s="51"/>
    </row>
    <row r="129" spans="1:2" ht="12.75">
      <c r="A129" s="51"/>
      <c r="B129" s="51"/>
    </row>
    <row r="130" spans="1:2" ht="12.75">
      <c r="A130" s="51"/>
      <c r="B130" s="51"/>
    </row>
    <row r="131" spans="1:2" ht="12.75">
      <c r="A131" s="51"/>
      <c r="B131" s="51"/>
    </row>
    <row r="132" spans="1:2" ht="12.75">
      <c r="A132" s="51"/>
      <c r="B132" s="51"/>
    </row>
    <row r="133" spans="1:2" ht="12.75">
      <c r="A133" s="51"/>
      <c r="B133" s="51"/>
    </row>
    <row r="134" spans="1:2" ht="12.75">
      <c r="A134" s="51"/>
      <c r="B134" s="51"/>
    </row>
    <row r="135" spans="1:2" ht="12.75">
      <c r="A135" s="51"/>
      <c r="B135" s="51"/>
    </row>
    <row r="136" spans="1:2" ht="12.75">
      <c r="A136" s="51"/>
      <c r="B136" s="51"/>
    </row>
    <row r="137" spans="1:2" ht="12.75">
      <c r="A137" s="51"/>
      <c r="B137" s="51"/>
    </row>
    <row r="138" spans="1:2" ht="12.75">
      <c r="A138" s="51"/>
      <c r="B138" s="51"/>
    </row>
    <row r="139" spans="1:2" ht="12.75">
      <c r="A139" s="51"/>
      <c r="B139" s="51"/>
    </row>
    <row r="140" spans="1:2" ht="12.75">
      <c r="A140" s="51"/>
      <c r="B140" s="51"/>
    </row>
    <row r="141" spans="1:2" ht="12.75">
      <c r="A141" s="51"/>
      <c r="B141" s="51"/>
    </row>
    <row r="142" spans="1:2" ht="12.75">
      <c r="A142" s="51"/>
      <c r="B142" s="51"/>
    </row>
    <row r="143" spans="1:2" ht="12.75">
      <c r="A143" s="51"/>
      <c r="B143" s="51"/>
    </row>
    <row r="144" spans="1:2" ht="12.75">
      <c r="A144" s="51"/>
      <c r="B144" s="51"/>
    </row>
    <row r="145" spans="1:2" ht="12.75">
      <c r="A145" s="51"/>
      <c r="B145" s="51"/>
    </row>
    <row r="146" spans="1:2" ht="12.75">
      <c r="A146" s="51"/>
      <c r="B146" s="51"/>
    </row>
    <row r="147" spans="1:2" ht="12.75">
      <c r="A147" s="51"/>
      <c r="B147" s="51"/>
    </row>
    <row r="148" spans="1:2" ht="12.75">
      <c r="A148" s="51"/>
      <c r="B148" s="51"/>
    </row>
    <row r="149" spans="1:2" ht="12.75">
      <c r="A149" s="51"/>
      <c r="B149" s="51"/>
    </row>
    <row r="150" spans="1:2" ht="12.75">
      <c r="A150" s="51"/>
      <c r="B150" s="51"/>
    </row>
    <row r="151" spans="1:2" ht="12.75">
      <c r="A151" s="51"/>
      <c r="B151" s="51"/>
    </row>
    <row r="152" spans="1:2" ht="12.75">
      <c r="A152" s="51"/>
      <c r="B152" s="51"/>
    </row>
    <row r="153" spans="1:2" ht="12.75">
      <c r="A153" s="51"/>
      <c r="B153" s="51"/>
    </row>
    <row r="154" spans="1:2" ht="12.75">
      <c r="A154" s="51"/>
      <c r="B154" s="51"/>
    </row>
    <row r="155" spans="1:2" ht="12.75">
      <c r="A155" s="51"/>
      <c r="B155" s="51"/>
    </row>
    <row r="156" spans="1:2" ht="12.75">
      <c r="A156" s="51"/>
      <c r="B156" s="51"/>
    </row>
    <row r="157" spans="1:2" ht="12.75">
      <c r="A157" s="51"/>
      <c r="B157" s="51"/>
    </row>
    <row r="158" spans="1:2" ht="12.75">
      <c r="A158" s="51"/>
      <c r="B158" s="51"/>
    </row>
    <row r="159" spans="1:2" ht="12.75">
      <c r="A159" s="51"/>
      <c r="B159" s="51"/>
    </row>
    <row r="160" spans="1:2" ht="12.75">
      <c r="A160" s="51"/>
      <c r="B160" s="51"/>
    </row>
    <row r="161" spans="1:2" ht="12.75">
      <c r="A161" s="51"/>
      <c r="B161" s="51"/>
    </row>
    <row r="162" spans="1:2" ht="12.75">
      <c r="A162" s="51"/>
      <c r="B162" s="51"/>
    </row>
    <row r="163" spans="1:2" ht="12.75">
      <c r="A163" s="51"/>
      <c r="B163" s="51"/>
    </row>
    <row r="164" spans="1:2" ht="12.75">
      <c r="A164" s="51"/>
      <c r="B164" s="51"/>
    </row>
    <row r="165" spans="1:2" ht="12.75">
      <c r="A165" s="51"/>
      <c r="B165" s="51"/>
    </row>
    <row r="166" spans="1:2" ht="12.75">
      <c r="A166" s="51"/>
      <c r="B166" s="51"/>
    </row>
    <row r="167" spans="1:2" ht="12.75">
      <c r="A167" s="51"/>
      <c r="B167" s="51"/>
    </row>
    <row r="168" spans="1:2" ht="12.75">
      <c r="A168" s="51"/>
      <c r="B168" s="51"/>
    </row>
    <row r="169" spans="1:2" ht="12.75">
      <c r="A169" s="51"/>
      <c r="B169" s="51"/>
    </row>
    <row r="170" spans="1:2" ht="12.75">
      <c r="A170" s="51"/>
      <c r="B170" s="51"/>
    </row>
    <row r="171" spans="1:2" ht="12.75">
      <c r="A171" s="51"/>
      <c r="B171" s="51"/>
    </row>
    <row r="172" spans="1:2" ht="12.75">
      <c r="A172" s="51"/>
      <c r="B172" s="51"/>
    </row>
    <row r="173" spans="1:2" ht="12.75">
      <c r="A173" s="51"/>
      <c r="B173" s="51"/>
    </row>
    <row r="174" spans="1:2" ht="12.75">
      <c r="A174" s="51"/>
      <c r="B174" s="51"/>
    </row>
    <row r="175" spans="1:2" ht="12.75">
      <c r="A175" s="51"/>
      <c r="B175" s="51"/>
    </row>
    <row r="176" spans="1:2" ht="12.75">
      <c r="A176" s="51"/>
      <c r="B176" s="51"/>
    </row>
    <row r="177" spans="1:2" ht="12.75">
      <c r="A177" s="51"/>
      <c r="B177" s="51"/>
    </row>
    <row r="178" spans="1:2" ht="12.75">
      <c r="A178" s="51"/>
      <c r="B178" s="51"/>
    </row>
    <row r="179" spans="1:2" ht="12.75">
      <c r="A179" s="51"/>
      <c r="B179" s="51"/>
    </row>
    <row r="180" spans="1:2" ht="12.75">
      <c r="A180" s="51"/>
      <c r="B180" s="51"/>
    </row>
    <row r="181" spans="1:2" ht="12.75">
      <c r="A181" s="51"/>
      <c r="B181" s="51"/>
    </row>
    <row r="182" spans="1:2" ht="12.75">
      <c r="A182" s="51"/>
      <c r="B182" s="51"/>
    </row>
    <row r="183" spans="1:2" ht="12.75">
      <c r="A183" s="51"/>
      <c r="B183" s="51"/>
    </row>
    <row r="184" spans="1:2" ht="12.75">
      <c r="A184" s="51"/>
      <c r="B184" s="51"/>
    </row>
    <row r="185" spans="1:2" ht="12.75">
      <c r="A185" s="51"/>
      <c r="B185" s="51"/>
    </row>
    <row r="186" spans="1:2" ht="12.75">
      <c r="A186" s="51"/>
      <c r="B186" s="51"/>
    </row>
    <row r="187" spans="1:2" ht="12.75">
      <c r="A187" s="51"/>
      <c r="B187" s="51"/>
    </row>
    <row r="188" spans="1:2" ht="12.75">
      <c r="A188" s="51"/>
      <c r="B188" s="51"/>
    </row>
    <row r="189" spans="1:2" ht="12.75">
      <c r="A189" s="51"/>
      <c r="B189" s="51"/>
    </row>
    <row r="190" spans="1:2" ht="12.75">
      <c r="A190" s="51"/>
      <c r="B190" s="51"/>
    </row>
    <row r="191" spans="1:2" ht="12.75">
      <c r="A191" s="51"/>
      <c r="B191" s="51"/>
    </row>
    <row r="192" spans="1:2" ht="12.75">
      <c r="A192" s="51"/>
      <c r="B192" s="51"/>
    </row>
    <row r="193" spans="1:2" ht="12.75">
      <c r="A193" s="51"/>
      <c r="B193" s="51"/>
    </row>
    <row r="194" spans="1:2" ht="12.75">
      <c r="A194" s="51"/>
      <c r="B194" s="51"/>
    </row>
    <row r="195" spans="1:2" ht="12.75">
      <c r="A195" s="51"/>
      <c r="B195" s="51"/>
    </row>
    <row r="196" spans="1:2" ht="12.75">
      <c r="A196" s="51"/>
      <c r="B196" s="51"/>
    </row>
    <row r="197" spans="1:2" ht="12.75">
      <c r="A197" s="51"/>
      <c r="B197" s="51"/>
    </row>
    <row r="198" spans="1:2" ht="12.75">
      <c r="A198" s="51"/>
      <c r="B198" s="51"/>
    </row>
    <row r="199" spans="1:2" ht="12.75">
      <c r="A199" s="51"/>
      <c r="B199" s="51"/>
    </row>
    <row r="200" spans="1:2" ht="12.75">
      <c r="A200" s="51"/>
      <c r="B200" s="51"/>
    </row>
    <row r="201" spans="1:2" ht="12.75">
      <c r="A201" s="51"/>
      <c r="B201" s="51"/>
    </row>
    <row r="202" spans="1:2" ht="12.75">
      <c r="A202" s="51"/>
      <c r="B202" s="51"/>
    </row>
    <row r="203" spans="1:2" ht="12.75">
      <c r="A203" s="51"/>
      <c r="B203" s="51"/>
    </row>
    <row r="204" spans="1:2" ht="12.75">
      <c r="A204" s="51"/>
      <c r="B204" s="51"/>
    </row>
    <row r="205" spans="1:2" ht="12.75">
      <c r="A205" s="51"/>
      <c r="B205" s="51"/>
    </row>
    <row r="206" spans="1:2" ht="12.75">
      <c r="A206" s="51"/>
      <c r="B206" s="51"/>
    </row>
    <row r="207" spans="1:2" ht="12.75">
      <c r="A207" s="51"/>
      <c r="B207" s="51"/>
    </row>
    <row r="208" spans="1:2" ht="12.75">
      <c r="A208" s="51"/>
      <c r="B208" s="51"/>
    </row>
    <row r="209" spans="1:2" ht="12.75">
      <c r="A209" s="51"/>
      <c r="B209" s="51"/>
    </row>
    <row r="210" spans="1:2" ht="12.75">
      <c r="A210" s="51"/>
      <c r="B210" s="51"/>
    </row>
    <row r="211" spans="1:2" ht="12.75">
      <c r="A211" s="51"/>
      <c r="B211" s="51"/>
    </row>
    <row r="212" spans="1:2" ht="12.75">
      <c r="A212" s="51"/>
      <c r="B212" s="51"/>
    </row>
    <row r="213" spans="1:2" ht="12.75">
      <c r="A213" s="51"/>
      <c r="B213" s="51"/>
    </row>
    <row r="214" spans="1:2" ht="12.75">
      <c r="A214" s="51"/>
      <c r="B214" s="51"/>
    </row>
    <row r="215" spans="1:2" ht="12.75">
      <c r="A215" s="51"/>
      <c r="B215" s="51"/>
    </row>
    <row r="216" spans="1:2" ht="12.75">
      <c r="A216" s="51"/>
      <c r="B216" s="51"/>
    </row>
    <row r="217" spans="1:2" ht="12.75">
      <c r="A217" s="51"/>
      <c r="B217" s="51"/>
    </row>
    <row r="218" spans="1:2" ht="12.75">
      <c r="A218" s="51"/>
      <c r="B218" s="51"/>
    </row>
    <row r="219" spans="1:2" ht="12.75">
      <c r="A219" s="51"/>
      <c r="B219" s="51"/>
    </row>
    <row r="220" spans="1:2" ht="12.75">
      <c r="A220" s="51"/>
      <c r="B220" s="51"/>
    </row>
    <row r="221" spans="1:2" ht="12.75">
      <c r="A221" s="51"/>
      <c r="B221" s="51"/>
    </row>
    <row r="222" spans="1:2" ht="12.75">
      <c r="A222" s="51"/>
      <c r="B222" s="51"/>
    </row>
    <row r="223" spans="1:2" ht="12.75">
      <c r="A223" s="51"/>
      <c r="B223" s="51"/>
    </row>
    <row r="224" spans="1:2" ht="12.75">
      <c r="A224" s="51"/>
      <c r="B224" s="51"/>
    </row>
    <row r="225" spans="1:2" ht="12.75">
      <c r="A225" s="51"/>
      <c r="B225" s="51"/>
    </row>
    <row r="226" spans="1:2" ht="12.75">
      <c r="A226" s="51"/>
      <c r="B226" s="51"/>
    </row>
    <row r="227" spans="1:2" ht="12.75">
      <c r="A227" s="51"/>
      <c r="B227" s="51"/>
    </row>
    <row r="228" spans="1:2" ht="12.75">
      <c r="A228" s="51"/>
      <c r="B228" s="51"/>
    </row>
    <row r="229" spans="1:2" ht="12.75">
      <c r="A229" s="51"/>
      <c r="B229" s="51"/>
    </row>
    <row r="230" spans="1:2" ht="12.75">
      <c r="A230" s="51"/>
      <c r="B230" s="51"/>
    </row>
    <row r="231" spans="1:2" ht="12.75">
      <c r="A231" s="51"/>
      <c r="B231" s="51"/>
    </row>
    <row r="232" spans="1:2" ht="12.75">
      <c r="A232" s="51"/>
      <c r="B232" s="51"/>
    </row>
    <row r="233" spans="1:2" ht="12.75">
      <c r="A233" s="51"/>
      <c r="B233" s="51"/>
    </row>
    <row r="234" spans="1:2" ht="12.75">
      <c r="A234" s="51"/>
      <c r="B234" s="51"/>
    </row>
    <row r="235" spans="1:2" ht="12.75">
      <c r="A235" s="51"/>
      <c r="B235" s="51"/>
    </row>
    <row r="236" spans="1:2" ht="12.75">
      <c r="A236" s="51"/>
      <c r="B236" s="51"/>
    </row>
    <row r="237" spans="1:2" ht="12.75">
      <c r="A237" s="51"/>
      <c r="B237" s="51"/>
    </row>
    <row r="238" spans="1:2" ht="12.75">
      <c r="A238" s="51"/>
      <c r="B238" s="51"/>
    </row>
    <row r="239" spans="1:2" ht="12.75">
      <c r="A239" s="51"/>
      <c r="B239" s="51"/>
    </row>
    <row r="240" spans="1:2" ht="12.75">
      <c r="A240" s="51"/>
      <c r="B240" s="51"/>
    </row>
    <row r="241" spans="1:2" ht="12.75">
      <c r="A241" s="51"/>
      <c r="B241" s="51"/>
    </row>
    <row r="242" spans="1:2" ht="12.75">
      <c r="A242" s="51"/>
      <c r="B242" s="51"/>
    </row>
    <row r="243" spans="1:2" ht="12.75">
      <c r="A243" s="51"/>
      <c r="B243" s="51"/>
    </row>
    <row r="244" spans="1:2" ht="12.75">
      <c r="A244" s="51"/>
      <c r="B244" s="51"/>
    </row>
    <row r="245" spans="1:2" ht="12.75">
      <c r="A245" s="51"/>
      <c r="B245" s="51"/>
    </row>
    <row r="246" spans="1:2" ht="12.75">
      <c r="A246" s="51"/>
      <c r="B246" s="51"/>
    </row>
    <row r="247" spans="1:2" ht="12.75">
      <c r="A247" s="51"/>
      <c r="B247" s="51"/>
    </row>
    <row r="248" spans="1:2" ht="12.75">
      <c r="A248" s="51"/>
      <c r="B248" s="51"/>
    </row>
    <row r="249" spans="1:2" ht="12.75">
      <c r="A249" s="51"/>
      <c r="B249" s="51"/>
    </row>
    <row r="250" spans="1:2" ht="12.75">
      <c r="A250" s="51"/>
      <c r="B250" s="51"/>
    </row>
    <row r="251" spans="1:2" ht="12.75">
      <c r="A251" s="51"/>
      <c r="B251" s="51"/>
    </row>
    <row r="252" spans="1:2" ht="12.75">
      <c r="A252" s="51"/>
      <c r="B252" s="51"/>
    </row>
    <row r="253" spans="1:2" ht="12.75">
      <c r="A253" s="51"/>
      <c r="B253" s="51"/>
    </row>
    <row r="254" spans="1:2" ht="12.75">
      <c r="A254" s="51"/>
      <c r="B254" s="51"/>
    </row>
    <row r="255" spans="1:2" ht="12.75">
      <c r="A255" s="51"/>
      <c r="B255" s="51"/>
    </row>
    <row r="256" spans="1:2" ht="12.75">
      <c r="A256" s="51"/>
      <c r="B256" s="51"/>
    </row>
    <row r="257" spans="1:2" ht="12.75">
      <c r="A257" s="51"/>
      <c r="B257" s="51"/>
    </row>
    <row r="258" spans="1:2" ht="12.75">
      <c r="A258" s="51"/>
      <c r="B258" s="51"/>
    </row>
    <row r="259" spans="1:2" ht="12.75">
      <c r="A259" s="51"/>
      <c r="B259" s="51"/>
    </row>
    <row r="260" spans="1:2" ht="12.75">
      <c r="A260" s="51"/>
      <c r="B260" s="51"/>
    </row>
    <row r="261" spans="1:2" ht="12.75">
      <c r="A261" s="51"/>
      <c r="B261" s="51"/>
    </row>
    <row r="262" spans="1:2" ht="12.75">
      <c r="A262" s="51"/>
      <c r="B262" s="51"/>
    </row>
    <row r="263" spans="1:2" ht="12.75">
      <c r="A263" s="51"/>
      <c r="B263" s="51"/>
    </row>
    <row r="264" spans="1:2" ht="12.75">
      <c r="A264" s="51"/>
      <c r="B264" s="51"/>
    </row>
    <row r="265" spans="1:2" ht="12.75">
      <c r="A265" s="51"/>
      <c r="B265" s="51"/>
    </row>
    <row r="266" spans="1:2" ht="12.75">
      <c r="A266" s="51"/>
      <c r="B266" s="51"/>
    </row>
    <row r="267" spans="1:2" ht="12.75">
      <c r="A267" s="51"/>
      <c r="B267" s="51"/>
    </row>
    <row r="268" spans="1:2" ht="12.75">
      <c r="A268" s="51"/>
      <c r="B268" s="51"/>
    </row>
    <row r="269" spans="1:2" ht="12.75">
      <c r="A269" s="51"/>
      <c r="B269" s="51"/>
    </row>
    <row r="270" spans="1:2" ht="12.75">
      <c r="A270" s="51"/>
      <c r="B270" s="51"/>
    </row>
    <row r="271" spans="1:2" ht="12.75">
      <c r="A271" s="51"/>
      <c r="B271" s="51"/>
    </row>
    <row r="272" spans="1:2" ht="12.75">
      <c r="A272" s="51"/>
      <c r="B272" s="51"/>
    </row>
    <row r="273" spans="1:2" ht="12.75">
      <c r="A273" s="51"/>
      <c r="B273" s="51"/>
    </row>
    <row r="274" spans="1:2" ht="12.75">
      <c r="A274" s="51"/>
      <c r="B274" s="51"/>
    </row>
    <row r="275" spans="1:2" ht="12.75">
      <c r="A275" s="51"/>
      <c r="B275" s="51"/>
    </row>
    <row r="276" spans="1:2" ht="12.75">
      <c r="A276" s="51"/>
      <c r="B276" s="51"/>
    </row>
    <row r="277" spans="1:2" ht="12.75">
      <c r="A277" s="51"/>
      <c r="B277" s="51"/>
    </row>
    <row r="278" spans="1:2" ht="12.75">
      <c r="A278" s="51"/>
      <c r="B278" s="51"/>
    </row>
    <row r="279" spans="1:2" ht="12.75">
      <c r="A279" s="51"/>
      <c r="B279" s="51"/>
    </row>
    <row r="280" spans="1:2" ht="12.75">
      <c r="A280" s="51"/>
      <c r="B280" s="51"/>
    </row>
    <row r="281" spans="1:2" ht="12.75">
      <c r="A281" s="51"/>
      <c r="B281" s="51"/>
    </row>
  </sheetData>
  <mergeCells count="27">
    <mergeCell ref="F1:J1"/>
    <mergeCell ref="A2:J2"/>
    <mergeCell ref="A3:J3"/>
    <mergeCell ref="A4:J4"/>
    <mergeCell ref="A5:J5"/>
    <mergeCell ref="A6:J6"/>
    <mergeCell ref="A7:H7"/>
    <mergeCell ref="A8:A10"/>
    <mergeCell ref="B8:B10"/>
    <mergeCell ref="C8:C10"/>
    <mergeCell ref="D8:D10"/>
    <mergeCell ref="E8:E10"/>
    <mergeCell ref="F8:I8"/>
    <mergeCell ref="F9:G9"/>
    <mergeCell ref="A49:A51"/>
    <mergeCell ref="B49:B51"/>
    <mergeCell ref="C49:C51"/>
    <mergeCell ref="D49:D51"/>
    <mergeCell ref="I50:I51"/>
    <mergeCell ref="B75:J75"/>
    <mergeCell ref="B80:J80"/>
    <mergeCell ref="H9:H10"/>
    <mergeCell ref="I9:I10"/>
    <mergeCell ref="E49:E51"/>
    <mergeCell ref="F49:I49"/>
    <mergeCell ref="F50:G50"/>
    <mergeCell ref="H50:H51"/>
  </mergeCells>
  <printOptions/>
  <pageMargins left="0.75" right="0.75" top="1" bottom="1" header="0.5" footer="0.5"/>
  <pageSetup horizontalDpi="600" verticalDpi="600" orientation="portrait" paperSize="9" scale="43" r:id="rId1"/>
  <rowBreaks count="1" manualBreakCount="1">
    <brk id="75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T84"/>
  <sheetViews>
    <sheetView view="pageBreakPreview" zoomScale="50" zoomScaleNormal="50" zoomScaleSheetLayoutView="50" workbookViewId="0" topLeftCell="A1">
      <selection activeCell="A1" sqref="A1:IV16384"/>
    </sheetView>
  </sheetViews>
  <sheetFormatPr defaultColWidth="9.00390625" defaultRowHeight="12.75"/>
  <cols>
    <col min="1" max="1" width="5.625" style="205" customWidth="1"/>
    <col min="2" max="2" width="46.25390625" style="205" customWidth="1"/>
    <col min="3" max="3" width="29.125" style="205" customWidth="1"/>
    <col min="4" max="4" width="25.375" style="205" customWidth="1"/>
    <col min="5" max="5" width="19.25390625" style="205" customWidth="1"/>
    <col min="6" max="6" width="4.875" style="205" customWidth="1"/>
    <col min="7" max="7" width="19.125" style="205" customWidth="1"/>
    <col min="8" max="8" width="20.25390625" style="205" customWidth="1"/>
    <col min="9" max="16" width="16.875" style="205" customWidth="1"/>
    <col min="17" max="17" width="16.75390625" style="205" customWidth="1"/>
    <col min="18" max="18" width="23.00390625" style="205" customWidth="1"/>
    <col min="19" max="16384" width="9.125" style="205" customWidth="1"/>
  </cols>
  <sheetData>
    <row r="1" spans="1:20" ht="26.25" customHeight="1">
      <c r="A1" s="363"/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  <c r="N1" s="363"/>
      <c r="O1" s="363"/>
      <c r="P1" s="363"/>
      <c r="Q1" s="518" t="s">
        <v>226</v>
      </c>
      <c r="R1" s="518"/>
      <c r="S1" s="109"/>
      <c r="T1" s="109"/>
    </row>
    <row r="2" spans="1:18" ht="72" customHeight="1">
      <c r="A2" s="519" t="s">
        <v>377</v>
      </c>
      <c r="B2" s="519"/>
      <c r="C2" s="519"/>
      <c r="D2" s="520"/>
      <c r="E2" s="520"/>
      <c r="F2" s="520"/>
      <c r="G2" s="520"/>
      <c r="H2" s="520"/>
      <c r="I2" s="520"/>
      <c r="J2" s="520"/>
      <c r="K2" s="520"/>
      <c r="L2" s="520"/>
      <c r="M2" s="520"/>
      <c r="N2" s="520"/>
      <c r="O2" s="520"/>
      <c r="P2" s="520"/>
      <c r="Q2" s="520"/>
      <c r="R2" s="520"/>
    </row>
    <row r="3" spans="1:18" ht="56.25" customHeight="1">
      <c r="A3" s="521" t="s">
        <v>100</v>
      </c>
      <c r="B3" s="521" t="s">
        <v>306</v>
      </c>
      <c r="C3" s="521" t="s">
        <v>103</v>
      </c>
      <c r="D3" s="521" t="s">
        <v>104</v>
      </c>
      <c r="E3" s="521" t="s">
        <v>109</v>
      </c>
      <c r="F3" s="521"/>
      <c r="G3" s="521" t="s">
        <v>105</v>
      </c>
      <c r="H3" s="521" t="s">
        <v>106</v>
      </c>
      <c r="I3" s="521" t="s">
        <v>107</v>
      </c>
      <c r="J3" s="521"/>
      <c r="K3" s="521"/>
      <c r="L3" s="521"/>
      <c r="M3" s="521"/>
      <c r="N3" s="521"/>
      <c r="O3" s="521"/>
      <c r="P3" s="521"/>
      <c r="Q3" s="522" t="s">
        <v>110</v>
      </c>
      <c r="R3" s="522" t="s">
        <v>108</v>
      </c>
    </row>
    <row r="4" spans="1:18" ht="102" customHeight="1">
      <c r="A4" s="521"/>
      <c r="B4" s="521"/>
      <c r="C4" s="521"/>
      <c r="D4" s="521"/>
      <c r="E4" s="521"/>
      <c r="F4" s="521"/>
      <c r="G4" s="521"/>
      <c r="H4" s="521"/>
      <c r="I4" s="111" t="s">
        <v>276</v>
      </c>
      <c r="J4" s="111" t="s">
        <v>277</v>
      </c>
      <c r="K4" s="111" t="s">
        <v>338</v>
      </c>
      <c r="L4" s="111" t="s">
        <v>307</v>
      </c>
      <c r="M4" s="111" t="s">
        <v>297</v>
      </c>
      <c r="N4" s="111" t="s">
        <v>298</v>
      </c>
      <c r="O4" s="111" t="s">
        <v>288</v>
      </c>
      <c r="P4" s="111" t="s">
        <v>289</v>
      </c>
      <c r="Q4" s="523"/>
      <c r="R4" s="523"/>
    </row>
    <row r="5" spans="1:18" ht="46.5" customHeight="1">
      <c r="A5" s="509">
        <v>1</v>
      </c>
      <c r="B5" s="488" t="s">
        <v>227</v>
      </c>
      <c r="C5" s="491" t="s">
        <v>339</v>
      </c>
      <c r="D5" s="513" t="s">
        <v>228</v>
      </c>
      <c r="E5" s="481" t="s">
        <v>368</v>
      </c>
      <c r="F5" s="482"/>
      <c r="G5" s="29">
        <f>G6+G7+G8+G9</f>
        <v>481.656</v>
      </c>
      <c r="H5" s="28"/>
      <c r="I5" s="29">
        <f>I6+I7+I8+I9</f>
        <v>1127</v>
      </c>
      <c r="J5" s="189"/>
      <c r="K5" s="189"/>
      <c r="L5" s="28"/>
      <c r="M5" s="28"/>
      <c r="N5" s="28"/>
      <c r="O5" s="28"/>
      <c r="P5" s="28"/>
      <c r="Q5" s="515" t="s">
        <v>340</v>
      </c>
      <c r="R5" s="515" t="s">
        <v>341</v>
      </c>
    </row>
    <row r="6" spans="1:18" ht="18">
      <c r="A6" s="509"/>
      <c r="B6" s="489"/>
      <c r="C6" s="492"/>
      <c r="D6" s="513"/>
      <c r="E6" s="483">
        <v>2014</v>
      </c>
      <c r="F6" s="484"/>
      <c r="G6" s="29">
        <v>481.656</v>
      </c>
      <c r="H6" s="28"/>
      <c r="I6" s="65">
        <v>287</v>
      </c>
      <c r="J6" s="28"/>
      <c r="K6" s="28"/>
      <c r="L6" s="28"/>
      <c r="M6" s="28"/>
      <c r="N6" s="28"/>
      <c r="O6" s="28"/>
      <c r="P6" s="28"/>
      <c r="Q6" s="516"/>
      <c r="R6" s="516"/>
    </row>
    <row r="7" spans="1:18" ht="18">
      <c r="A7" s="509"/>
      <c r="B7" s="489"/>
      <c r="C7" s="492"/>
      <c r="D7" s="513"/>
      <c r="E7" s="483">
        <v>2015</v>
      </c>
      <c r="F7" s="484"/>
      <c r="G7" s="29">
        <v>0</v>
      </c>
      <c r="H7" s="28"/>
      <c r="I7" s="65">
        <v>280</v>
      </c>
      <c r="J7" s="28"/>
      <c r="K7" s="28"/>
      <c r="L7" s="28"/>
      <c r="M7" s="28"/>
      <c r="N7" s="28"/>
      <c r="O7" s="28"/>
      <c r="P7" s="28"/>
      <c r="Q7" s="516"/>
      <c r="R7" s="516"/>
    </row>
    <row r="8" spans="1:18" ht="18">
      <c r="A8" s="509"/>
      <c r="B8" s="489"/>
      <c r="C8" s="492"/>
      <c r="D8" s="513"/>
      <c r="E8" s="483">
        <v>2016</v>
      </c>
      <c r="F8" s="484"/>
      <c r="G8" s="29">
        <v>0</v>
      </c>
      <c r="H8" s="28"/>
      <c r="I8" s="65">
        <v>280</v>
      </c>
      <c r="J8" s="28"/>
      <c r="K8" s="28"/>
      <c r="L8" s="28"/>
      <c r="M8" s="28"/>
      <c r="N8" s="28"/>
      <c r="O8" s="28"/>
      <c r="P8" s="28"/>
      <c r="Q8" s="516"/>
      <c r="R8" s="516"/>
    </row>
    <row r="9" spans="1:18" ht="165.75" customHeight="1">
      <c r="A9" s="509"/>
      <c r="B9" s="489"/>
      <c r="C9" s="493"/>
      <c r="D9" s="513"/>
      <c r="E9" s="401">
        <v>2017</v>
      </c>
      <c r="F9" s="401">
        <v>2016</v>
      </c>
      <c r="G9" s="65">
        <v>0</v>
      </c>
      <c r="H9" s="28"/>
      <c r="I9" s="65">
        <v>280</v>
      </c>
      <c r="J9" s="28"/>
      <c r="K9" s="28"/>
      <c r="L9" s="28"/>
      <c r="M9" s="28"/>
      <c r="N9" s="28"/>
      <c r="O9" s="28"/>
      <c r="P9" s="28"/>
      <c r="Q9" s="517"/>
      <c r="R9" s="517"/>
    </row>
    <row r="10" spans="1:18" ht="47.25" customHeight="1">
      <c r="A10" s="509">
        <v>2</v>
      </c>
      <c r="B10" s="489"/>
      <c r="C10" s="510" t="s">
        <v>229</v>
      </c>
      <c r="D10" s="513"/>
      <c r="E10" s="481" t="s">
        <v>368</v>
      </c>
      <c r="F10" s="482"/>
      <c r="G10" s="29">
        <f>G11+G12+G13+G14</f>
        <v>954.9259999999999</v>
      </c>
      <c r="H10" s="28"/>
      <c r="I10" s="28"/>
      <c r="J10" s="29">
        <f>J11+J12+J13+J14</f>
        <v>802.4</v>
      </c>
      <c r="K10" s="28"/>
      <c r="L10" s="28"/>
      <c r="M10" s="28"/>
      <c r="N10" s="28"/>
      <c r="O10" s="28"/>
      <c r="P10" s="28"/>
      <c r="Q10" s="28"/>
      <c r="R10" s="515" t="s">
        <v>341</v>
      </c>
    </row>
    <row r="11" spans="1:18" ht="18">
      <c r="A11" s="509"/>
      <c r="B11" s="489"/>
      <c r="C11" s="511"/>
      <c r="D11" s="513"/>
      <c r="E11" s="483">
        <v>2014</v>
      </c>
      <c r="F11" s="484"/>
      <c r="G11" s="29">
        <v>468.31</v>
      </c>
      <c r="H11" s="28"/>
      <c r="I11" s="28"/>
      <c r="J11" s="29">
        <v>205.4</v>
      </c>
      <c r="K11" s="28"/>
      <c r="L11" s="28"/>
      <c r="M11" s="28"/>
      <c r="N11" s="28"/>
      <c r="O11" s="28"/>
      <c r="P11" s="28"/>
      <c r="Q11" s="28"/>
      <c r="R11" s="516"/>
    </row>
    <row r="12" spans="1:18" ht="18">
      <c r="A12" s="509"/>
      <c r="B12" s="489"/>
      <c r="C12" s="511"/>
      <c r="D12" s="513"/>
      <c r="E12" s="483">
        <v>2015</v>
      </c>
      <c r="F12" s="484"/>
      <c r="G12" s="29">
        <v>191.6</v>
      </c>
      <c r="H12" s="28"/>
      <c r="I12" s="28"/>
      <c r="J12" s="29">
        <v>199</v>
      </c>
      <c r="K12" s="28"/>
      <c r="L12" s="28"/>
      <c r="M12" s="28"/>
      <c r="N12" s="28"/>
      <c r="O12" s="28"/>
      <c r="P12" s="28"/>
      <c r="Q12" s="28"/>
      <c r="R12" s="516"/>
    </row>
    <row r="13" spans="1:18" ht="18">
      <c r="A13" s="509"/>
      <c r="B13" s="489"/>
      <c r="C13" s="511"/>
      <c r="D13" s="513"/>
      <c r="E13" s="483">
        <v>2016</v>
      </c>
      <c r="F13" s="484"/>
      <c r="G13" s="29">
        <v>143.7</v>
      </c>
      <c r="H13" s="28"/>
      <c r="I13" s="28"/>
      <c r="J13" s="29">
        <v>199</v>
      </c>
      <c r="K13" s="28"/>
      <c r="L13" s="28"/>
      <c r="M13" s="28"/>
      <c r="N13" s="28"/>
      <c r="O13" s="28"/>
      <c r="P13" s="28"/>
      <c r="Q13" s="28"/>
      <c r="R13" s="516"/>
    </row>
    <row r="14" spans="1:18" ht="18">
      <c r="A14" s="509"/>
      <c r="B14" s="490"/>
      <c r="C14" s="512"/>
      <c r="D14" s="514"/>
      <c r="E14" s="401">
        <v>2017</v>
      </c>
      <c r="F14" s="401">
        <v>2016</v>
      </c>
      <c r="G14" s="29">
        <v>151.316</v>
      </c>
      <c r="H14" s="28"/>
      <c r="I14" s="28"/>
      <c r="J14" s="29">
        <v>199</v>
      </c>
      <c r="K14" s="28"/>
      <c r="L14" s="28"/>
      <c r="M14" s="28"/>
      <c r="N14" s="28"/>
      <c r="O14" s="28"/>
      <c r="P14" s="28"/>
      <c r="Q14" s="28"/>
      <c r="R14" s="517"/>
    </row>
    <row r="15" spans="1:18" ht="48" customHeight="1">
      <c r="A15" s="485"/>
      <c r="B15" s="497" t="s">
        <v>308</v>
      </c>
      <c r="C15" s="498"/>
      <c r="D15" s="499"/>
      <c r="E15" s="481" t="s">
        <v>368</v>
      </c>
      <c r="F15" s="482"/>
      <c r="G15" s="29">
        <f>G16+G17+G18+G19</f>
        <v>1436.582</v>
      </c>
      <c r="H15" s="29"/>
      <c r="I15" s="29"/>
      <c r="J15" s="192"/>
      <c r="K15" s="192"/>
      <c r="L15" s="29"/>
      <c r="M15" s="29"/>
      <c r="N15" s="29"/>
      <c r="O15" s="29"/>
      <c r="P15" s="29"/>
      <c r="Q15" s="29"/>
      <c r="R15" s="524" t="s">
        <v>341</v>
      </c>
    </row>
    <row r="16" spans="1:18" ht="18" customHeight="1">
      <c r="A16" s="486"/>
      <c r="B16" s="500"/>
      <c r="C16" s="501"/>
      <c r="D16" s="502"/>
      <c r="E16" s="483">
        <v>2014</v>
      </c>
      <c r="F16" s="484"/>
      <c r="G16" s="29">
        <f>G6+G11</f>
        <v>949.966</v>
      </c>
      <c r="H16" s="29"/>
      <c r="I16" s="29"/>
      <c r="J16" s="192"/>
      <c r="K16" s="192"/>
      <c r="L16" s="29"/>
      <c r="M16" s="29"/>
      <c r="N16" s="29"/>
      <c r="O16" s="29"/>
      <c r="P16" s="29"/>
      <c r="Q16" s="29"/>
      <c r="R16" s="525"/>
    </row>
    <row r="17" spans="1:18" ht="18">
      <c r="A17" s="486"/>
      <c r="B17" s="500"/>
      <c r="C17" s="501"/>
      <c r="D17" s="502"/>
      <c r="E17" s="483">
        <v>2015</v>
      </c>
      <c r="F17" s="484"/>
      <c r="G17" s="29">
        <f>G7+G12</f>
        <v>191.6</v>
      </c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525"/>
    </row>
    <row r="18" spans="1:18" ht="18">
      <c r="A18" s="486"/>
      <c r="B18" s="500"/>
      <c r="C18" s="501"/>
      <c r="D18" s="502"/>
      <c r="E18" s="483">
        <v>2016</v>
      </c>
      <c r="F18" s="484"/>
      <c r="G18" s="29">
        <f>G8+G13</f>
        <v>143.7</v>
      </c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525"/>
    </row>
    <row r="19" spans="1:18" ht="18">
      <c r="A19" s="487"/>
      <c r="B19" s="503"/>
      <c r="C19" s="504"/>
      <c r="D19" s="505"/>
      <c r="E19" s="401">
        <v>2017</v>
      </c>
      <c r="F19" s="401">
        <v>2016</v>
      </c>
      <c r="G19" s="29">
        <f>G9+G14</f>
        <v>151.316</v>
      </c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526"/>
    </row>
    <row r="20" spans="1:18" ht="48.75" customHeight="1">
      <c r="A20" s="485">
        <v>3</v>
      </c>
      <c r="B20" s="488" t="s">
        <v>227</v>
      </c>
      <c r="C20" s="491" t="s">
        <v>299</v>
      </c>
      <c r="D20" s="506" t="s">
        <v>309</v>
      </c>
      <c r="E20" s="481" t="s">
        <v>368</v>
      </c>
      <c r="F20" s="482"/>
      <c r="G20" s="29">
        <f>G21+G22+G23+G24</f>
        <v>1.2</v>
      </c>
      <c r="H20" s="28"/>
      <c r="I20" s="28"/>
      <c r="J20" s="28"/>
      <c r="K20" s="28"/>
      <c r="L20" s="29">
        <f>L21+L22+L23+L24</f>
        <v>37</v>
      </c>
      <c r="M20" s="29">
        <f>M21+M22+M23+M24</f>
        <v>5.999999999999999</v>
      </c>
      <c r="N20" s="29">
        <f>N21+N22+N23+N24</f>
        <v>153</v>
      </c>
      <c r="O20" s="28"/>
      <c r="P20" s="28"/>
      <c r="Q20" s="29">
        <f>Q21+Q22+Q23+Q24</f>
        <v>1</v>
      </c>
      <c r="R20" s="29">
        <f>R21+R22+R23+R24</f>
        <v>6</v>
      </c>
    </row>
    <row r="21" spans="1:18" ht="18">
      <c r="A21" s="486"/>
      <c r="B21" s="489"/>
      <c r="C21" s="492"/>
      <c r="D21" s="507"/>
      <c r="E21" s="483">
        <v>2014</v>
      </c>
      <c r="F21" s="484"/>
      <c r="G21" s="29">
        <v>0.5</v>
      </c>
      <c r="H21" s="28"/>
      <c r="I21" s="28"/>
      <c r="J21" s="28"/>
      <c r="K21" s="28"/>
      <c r="L21" s="29">
        <v>8.5</v>
      </c>
      <c r="M21" s="29">
        <v>1.2</v>
      </c>
      <c r="N21" s="29">
        <v>33</v>
      </c>
      <c r="O21" s="29"/>
      <c r="P21" s="29"/>
      <c r="Q21" s="29">
        <v>0.4</v>
      </c>
      <c r="R21" s="29">
        <v>3</v>
      </c>
    </row>
    <row r="22" spans="1:18" ht="18">
      <c r="A22" s="486"/>
      <c r="B22" s="489"/>
      <c r="C22" s="492"/>
      <c r="D22" s="507"/>
      <c r="E22" s="483">
        <v>2015</v>
      </c>
      <c r="F22" s="484"/>
      <c r="G22" s="29">
        <v>0.7</v>
      </c>
      <c r="H22" s="28"/>
      <c r="I22" s="28"/>
      <c r="J22" s="28"/>
      <c r="K22" s="28"/>
      <c r="L22" s="29">
        <v>9</v>
      </c>
      <c r="M22" s="29">
        <v>1.4</v>
      </c>
      <c r="N22" s="29">
        <v>38</v>
      </c>
      <c r="O22" s="29"/>
      <c r="P22" s="29"/>
      <c r="Q22" s="29">
        <v>0.2</v>
      </c>
      <c r="R22" s="29">
        <v>3</v>
      </c>
    </row>
    <row r="23" spans="1:18" ht="18">
      <c r="A23" s="486"/>
      <c r="B23" s="489"/>
      <c r="C23" s="492"/>
      <c r="D23" s="507"/>
      <c r="E23" s="483">
        <v>2016</v>
      </c>
      <c r="F23" s="484"/>
      <c r="G23" s="29">
        <v>0</v>
      </c>
      <c r="H23" s="28"/>
      <c r="I23" s="28"/>
      <c r="J23" s="28"/>
      <c r="K23" s="28"/>
      <c r="L23" s="29">
        <v>9.5</v>
      </c>
      <c r="M23" s="29">
        <v>1.6</v>
      </c>
      <c r="N23" s="29">
        <v>40</v>
      </c>
      <c r="O23" s="29"/>
      <c r="P23" s="29"/>
      <c r="Q23" s="29">
        <v>0.2</v>
      </c>
      <c r="R23" s="29">
        <v>0</v>
      </c>
    </row>
    <row r="24" spans="1:18" ht="18">
      <c r="A24" s="487"/>
      <c r="B24" s="489"/>
      <c r="C24" s="493"/>
      <c r="D24" s="507"/>
      <c r="E24" s="401">
        <v>2017</v>
      </c>
      <c r="F24" s="401">
        <v>2016</v>
      </c>
      <c r="G24" s="29">
        <v>0</v>
      </c>
      <c r="H24" s="28"/>
      <c r="I24" s="28"/>
      <c r="J24" s="28"/>
      <c r="K24" s="28"/>
      <c r="L24" s="29">
        <v>10</v>
      </c>
      <c r="M24" s="29">
        <v>1.8</v>
      </c>
      <c r="N24" s="29">
        <v>42</v>
      </c>
      <c r="O24" s="29"/>
      <c r="P24" s="29"/>
      <c r="Q24" s="29">
        <v>0.2</v>
      </c>
      <c r="R24" s="29">
        <v>0</v>
      </c>
    </row>
    <row r="25" spans="1:18" ht="49.5" customHeight="1">
      <c r="A25" s="485">
        <v>4</v>
      </c>
      <c r="B25" s="489"/>
      <c r="C25" s="491" t="s">
        <v>300</v>
      </c>
      <c r="D25" s="507"/>
      <c r="E25" s="481" t="s">
        <v>368</v>
      </c>
      <c r="F25" s="482"/>
      <c r="G25" s="29">
        <f>G26+G27+G28+G29</f>
        <v>7.6</v>
      </c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</row>
    <row r="26" spans="1:18" ht="18">
      <c r="A26" s="486"/>
      <c r="B26" s="489"/>
      <c r="C26" s="492"/>
      <c r="D26" s="507"/>
      <c r="E26" s="483">
        <v>2014</v>
      </c>
      <c r="F26" s="484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9">
        <v>0</v>
      </c>
      <c r="R26" s="28"/>
    </row>
    <row r="27" spans="1:18" ht="18">
      <c r="A27" s="486"/>
      <c r="B27" s="489"/>
      <c r="C27" s="492"/>
      <c r="D27" s="507"/>
      <c r="E27" s="483">
        <v>2015</v>
      </c>
      <c r="F27" s="484"/>
      <c r="G27" s="29">
        <v>7.6</v>
      </c>
      <c r="H27" s="29"/>
      <c r="I27" s="29"/>
      <c r="J27" s="29"/>
      <c r="K27" s="29"/>
      <c r="L27" s="29"/>
      <c r="M27" s="29"/>
      <c r="N27" s="29"/>
      <c r="O27" s="29"/>
      <c r="P27" s="29"/>
      <c r="Q27" s="29">
        <v>0.2</v>
      </c>
      <c r="R27" s="28"/>
    </row>
    <row r="28" spans="1:18" ht="18">
      <c r="A28" s="486"/>
      <c r="B28" s="489"/>
      <c r="C28" s="492"/>
      <c r="D28" s="507"/>
      <c r="E28" s="483">
        <v>2016</v>
      </c>
      <c r="F28" s="484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9">
        <v>0.2</v>
      </c>
      <c r="R28" s="28"/>
    </row>
    <row r="29" spans="1:18" ht="18">
      <c r="A29" s="487"/>
      <c r="B29" s="490"/>
      <c r="C29" s="493"/>
      <c r="D29" s="508"/>
      <c r="E29" s="401">
        <v>2017</v>
      </c>
      <c r="F29" s="401">
        <v>2016</v>
      </c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9">
        <v>0.2</v>
      </c>
      <c r="R29" s="28"/>
    </row>
    <row r="30" spans="1:18" ht="47.25" customHeight="1">
      <c r="A30" s="485"/>
      <c r="B30" s="497" t="s">
        <v>308</v>
      </c>
      <c r="C30" s="498"/>
      <c r="D30" s="499"/>
      <c r="E30" s="481" t="s">
        <v>368</v>
      </c>
      <c r="F30" s="482"/>
      <c r="G30" s="65">
        <f>G31+G32+G33+G34</f>
        <v>8.799999999999999</v>
      </c>
      <c r="H30" s="65"/>
      <c r="I30" s="65"/>
      <c r="J30" s="65"/>
      <c r="K30" s="65"/>
      <c r="L30" s="65">
        <f>L31+L32+L33+L34</f>
        <v>37</v>
      </c>
      <c r="M30" s="65">
        <f>M31+M32+M33+M34</f>
        <v>5.999999999999999</v>
      </c>
      <c r="N30" s="65">
        <f>N31+N32+N33+N34</f>
        <v>153</v>
      </c>
      <c r="O30" s="65"/>
      <c r="P30" s="65"/>
      <c r="Q30" s="65">
        <f>Q31+Q32+Q33+Q34</f>
        <v>1.6</v>
      </c>
      <c r="R30" s="65">
        <f>R31+R32+R33+R34</f>
        <v>6</v>
      </c>
    </row>
    <row r="31" spans="1:18" ht="18">
      <c r="A31" s="486"/>
      <c r="B31" s="500"/>
      <c r="C31" s="501"/>
      <c r="D31" s="502"/>
      <c r="E31" s="483">
        <v>2014</v>
      </c>
      <c r="F31" s="484"/>
      <c r="G31" s="65">
        <f>G21+G26</f>
        <v>0.5</v>
      </c>
      <c r="H31" s="65"/>
      <c r="I31" s="65"/>
      <c r="J31" s="65"/>
      <c r="K31" s="65"/>
      <c r="L31" s="65">
        <f aca="true" t="shared" si="0" ref="L31:R31">L21+L26</f>
        <v>8.5</v>
      </c>
      <c r="M31" s="65">
        <f t="shared" si="0"/>
        <v>1.2</v>
      </c>
      <c r="N31" s="65">
        <f t="shared" si="0"/>
        <v>33</v>
      </c>
      <c r="O31" s="65"/>
      <c r="P31" s="65"/>
      <c r="Q31" s="65">
        <f t="shared" si="0"/>
        <v>0.4</v>
      </c>
      <c r="R31" s="65">
        <f t="shared" si="0"/>
        <v>3</v>
      </c>
    </row>
    <row r="32" spans="1:18" ht="18">
      <c r="A32" s="486"/>
      <c r="B32" s="500"/>
      <c r="C32" s="501"/>
      <c r="D32" s="502"/>
      <c r="E32" s="483">
        <v>2015</v>
      </c>
      <c r="F32" s="484"/>
      <c r="G32" s="65">
        <f>G22+G27</f>
        <v>8.299999999999999</v>
      </c>
      <c r="H32" s="65"/>
      <c r="I32" s="65"/>
      <c r="J32" s="65"/>
      <c r="K32" s="65"/>
      <c r="L32" s="65">
        <f aca="true" t="shared" si="1" ref="L32:N34">L22+L27</f>
        <v>9</v>
      </c>
      <c r="M32" s="65">
        <f t="shared" si="1"/>
        <v>1.4</v>
      </c>
      <c r="N32" s="65">
        <f t="shared" si="1"/>
        <v>38</v>
      </c>
      <c r="O32" s="65"/>
      <c r="P32" s="65"/>
      <c r="Q32" s="65">
        <f aca="true" t="shared" si="2" ref="Q32:R34">Q22+Q27</f>
        <v>0.4</v>
      </c>
      <c r="R32" s="65">
        <f t="shared" si="2"/>
        <v>3</v>
      </c>
    </row>
    <row r="33" spans="1:18" ht="18">
      <c r="A33" s="486"/>
      <c r="B33" s="500"/>
      <c r="C33" s="501"/>
      <c r="D33" s="502"/>
      <c r="E33" s="483">
        <v>2016</v>
      </c>
      <c r="F33" s="484"/>
      <c r="G33" s="65">
        <f>G23+G28</f>
        <v>0</v>
      </c>
      <c r="H33" s="65"/>
      <c r="I33" s="65"/>
      <c r="J33" s="65"/>
      <c r="K33" s="65"/>
      <c r="L33" s="65">
        <f t="shared" si="1"/>
        <v>9.5</v>
      </c>
      <c r="M33" s="65">
        <f t="shared" si="1"/>
        <v>1.6</v>
      </c>
      <c r="N33" s="65">
        <f t="shared" si="1"/>
        <v>40</v>
      </c>
      <c r="O33" s="65"/>
      <c r="P33" s="65"/>
      <c r="Q33" s="65">
        <f t="shared" si="2"/>
        <v>0.4</v>
      </c>
      <c r="R33" s="65">
        <f t="shared" si="2"/>
        <v>0</v>
      </c>
    </row>
    <row r="34" spans="1:18" ht="18">
      <c r="A34" s="487"/>
      <c r="B34" s="503"/>
      <c r="C34" s="504"/>
      <c r="D34" s="505"/>
      <c r="E34" s="401">
        <v>2017</v>
      </c>
      <c r="F34" s="401">
        <v>2016</v>
      </c>
      <c r="G34" s="65">
        <f>G24+G29</f>
        <v>0</v>
      </c>
      <c r="H34" s="65"/>
      <c r="I34" s="65"/>
      <c r="J34" s="65"/>
      <c r="K34" s="65"/>
      <c r="L34" s="65">
        <f t="shared" si="1"/>
        <v>10</v>
      </c>
      <c r="M34" s="65">
        <f t="shared" si="1"/>
        <v>1.8</v>
      </c>
      <c r="N34" s="65">
        <f t="shared" si="1"/>
        <v>42</v>
      </c>
      <c r="O34" s="65"/>
      <c r="P34" s="65"/>
      <c r="Q34" s="65">
        <f t="shared" si="2"/>
        <v>0.4</v>
      </c>
      <c r="R34" s="65">
        <f t="shared" si="2"/>
        <v>0</v>
      </c>
    </row>
    <row r="35" spans="1:18" ht="45" customHeight="1">
      <c r="A35" s="485">
        <v>5</v>
      </c>
      <c r="B35" s="488" t="s">
        <v>227</v>
      </c>
      <c r="C35" s="491" t="s">
        <v>337</v>
      </c>
      <c r="D35" s="494" t="s">
        <v>336</v>
      </c>
      <c r="E35" s="483" t="s">
        <v>368</v>
      </c>
      <c r="F35" s="484"/>
      <c r="G35" s="29">
        <f>G36+G37+G38+G39</f>
        <v>176.197</v>
      </c>
      <c r="H35" s="28"/>
      <c r="I35" s="28"/>
      <c r="J35" s="28"/>
      <c r="K35" s="29"/>
      <c r="L35" s="28"/>
      <c r="M35" s="28"/>
      <c r="N35" s="28"/>
      <c r="O35" s="28"/>
      <c r="P35" s="28"/>
      <c r="Q35" s="28"/>
      <c r="R35" s="28"/>
    </row>
    <row r="36" spans="1:18" ht="18">
      <c r="A36" s="486"/>
      <c r="B36" s="489"/>
      <c r="C36" s="492"/>
      <c r="D36" s="495"/>
      <c r="E36" s="483">
        <v>2014</v>
      </c>
      <c r="F36" s="484"/>
      <c r="G36" s="29">
        <v>33.847</v>
      </c>
      <c r="H36" s="28"/>
      <c r="I36" s="28"/>
      <c r="J36" s="28"/>
      <c r="K36" s="29">
        <v>137</v>
      </c>
      <c r="L36" s="28"/>
      <c r="M36" s="28"/>
      <c r="N36" s="28"/>
      <c r="O36" s="28"/>
      <c r="P36" s="28"/>
      <c r="Q36" s="28"/>
      <c r="R36" s="28"/>
    </row>
    <row r="37" spans="1:18" ht="18">
      <c r="A37" s="486"/>
      <c r="B37" s="489"/>
      <c r="C37" s="492"/>
      <c r="D37" s="495"/>
      <c r="E37" s="483">
        <v>2015</v>
      </c>
      <c r="F37" s="484"/>
      <c r="G37" s="29">
        <v>104.746</v>
      </c>
      <c r="H37" s="28"/>
      <c r="I37" s="28"/>
      <c r="J37" s="28"/>
      <c r="K37" s="29">
        <v>160</v>
      </c>
      <c r="L37" s="28"/>
      <c r="M37" s="28"/>
      <c r="N37" s="28"/>
      <c r="O37" s="28"/>
      <c r="P37" s="28"/>
      <c r="Q37" s="28"/>
      <c r="R37" s="28"/>
    </row>
    <row r="38" spans="1:18" ht="18">
      <c r="A38" s="486"/>
      <c r="B38" s="489"/>
      <c r="C38" s="492"/>
      <c r="D38" s="495"/>
      <c r="E38" s="483">
        <v>2016</v>
      </c>
      <c r="F38" s="484"/>
      <c r="G38" s="29">
        <v>31.604</v>
      </c>
      <c r="H38" s="28"/>
      <c r="I38" s="28"/>
      <c r="J38" s="28"/>
      <c r="K38" s="29">
        <v>200</v>
      </c>
      <c r="L38" s="28"/>
      <c r="M38" s="28"/>
      <c r="N38" s="28"/>
      <c r="O38" s="28"/>
      <c r="P38" s="28"/>
      <c r="Q38" s="28"/>
      <c r="R38" s="28"/>
    </row>
    <row r="39" spans="1:18" ht="18">
      <c r="A39" s="487"/>
      <c r="B39" s="490"/>
      <c r="C39" s="493"/>
      <c r="D39" s="496"/>
      <c r="E39" s="483">
        <v>2017</v>
      </c>
      <c r="F39" s="484"/>
      <c r="G39" s="29">
        <v>6</v>
      </c>
      <c r="H39" s="28"/>
      <c r="I39" s="28"/>
      <c r="J39" s="28"/>
      <c r="K39" s="29">
        <v>220</v>
      </c>
      <c r="L39" s="28"/>
      <c r="M39" s="28"/>
      <c r="N39" s="28"/>
      <c r="O39" s="28"/>
      <c r="P39" s="28"/>
      <c r="Q39" s="28"/>
      <c r="R39" s="28"/>
    </row>
    <row r="40" spans="1:18" ht="45" customHeight="1">
      <c r="A40" s="485">
        <v>6</v>
      </c>
      <c r="B40" s="488" t="s">
        <v>227</v>
      </c>
      <c r="C40" s="491" t="s">
        <v>285</v>
      </c>
      <c r="D40" s="494" t="s">
        <v>230</v>
      </c>
      <c r="E40" s="483" t="s">
        <v>368</v>
      </c>
      <c r="F40" s="484"/>
      <c r="G40" s="29">
        <f>G41+G42+G43+G44</f>
        <v>960.811</v>
      </c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</row>
    <row r="41" spans="1:18" ht="18">
      <c r="A41" s="486"/>
      <c r="B41" s="489"/>
      <c r="C41" s="492"/>
      <c r="D41" s="495"/>
      <c r="E41" s="483">
        <v>2014</v>
      </c>
      <c r="F41" s="484"/>
      <c r="G41" s="29">
        <v>155.13</v>
      </c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</row>
    <row r="42" spans="1:18" ht="18">
      <c r="A42" s="486"/>
      <c r="B42" s="489"/>
      <c r="C42" s="492"/>
      <c r="D42" s="495"/>
      <c r="E42" s="483">
        <v>2015</v>
      </c>
      <c r="F42" s="484"/>
      <c r="G42" s="29">
        <v>116.585</v>
      </c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</row>
    <row r="43" spans="1:18" ht="18">
      <c r="A43" s="486"/>
      <c r="B43" s="489"/>
      <c r="C43" s="492"/>
      <c r="D43" s="495"/>
      <c r="E43" s="483">
        <v>2016</v>
      </c>
      <c r="F43" s="484"/>
      <c r="G43" s="29">
        <v>341.996</v>
      </c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</row>
    <row r="44" spans="1:18" ht="18">
      <c r="A44" s="487"/>
      <c r="B44" s="490"/>
      <c r="C44" s="493"/>
      <c r="D44" s="496"/>
      <c r="E44" s="483">
        <v>2017</v>
      </c>
      <c r="F44" s="484"/>
      <c r="G44" s="29">
        <v>347.1</v>
      </c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</row>
    <row r="45" spans="1:18" ht="45" customHeight="1">
      <c r="A45" s="485">
        <v>7</v>
      </c>
      <c r="B45" s="488" t="s">
        <v>227</v>
      </c>
      <c r="C45" s="491" t="s">
        <v>291</v>
      </c>
      <c r="D45" s="494" t="s">
        <v>113</v>
      </c>
      <c r="E45" s="481" t="s">
        <v>368</v>
      </c>
      <c r="F45" s="482"/>
      <c r="G45" s="29">
        <f>G46+G47+G48+G49</f>
        <v>1013.936</v>
      </c>
      <c r="H45" s="29"/>
      <c r="I45" s="29"/>
      <c r="J45" s="29"/>
      <c r="K45" s="29"/>
      <c r="L45" s="29"/>
      <c r="M45" s="29"/>
      <c r="N45" s="29"/>
      <c r="O45" s="29">
        <f>O46+O47+O48+O49</f>
        <v>126783.5</v>
      </c>
      <c r="P45" s="29">
        <f>P46+P47+P48+P49</f>
        <v>1844</v>
      </c>
      <c r="Q45" s="29">
        <f>Q46+Q47+Q48+Q49</f>
        <v>760.5</v>
      </c>
      <c r="R45" s="29">
        <f>R46+R47+R48+R49</f>
        <v>10</v>
      </c>
    </row>
    <row r="46" spans="1:18" ht="18">
      <c r="A46" s="486"/>
      <c r="B46" s="489"/>
      <c r="C46" s="492"/>
      <c r="D46" s="495"/>
      <c r="E46" s="483">
        <v>2014</v>
      </c>
      <c r="F46" s="484"/>
      <c r="G46" s="29">
        <v>256.736</v>
      </c>
      <c r="H46" s="28"/>
      <c r="I46" s="28"/>
      <c r="J46" s="28"/>
      <c r="K46" s="28"/>
      <c r="L46" s="28"/>
      <c r="M46" s="28"/>
      <c r="N46" s="28"/>
      <c r="O46" s="29">
        <v>31695.7</v>
      </c>
      <c r="P46" s="29">
        <v>461</v>
      </c>
      <c r="Q46" s="29">
        <v>85.2</v>
      </c>
      <c r="R46" s="29">
        <v>10</v>
      </c>
    </row>
    <row r="47" spans="1:18" ht="18">
      <c r="A47" s="486"/>
      <c r="B47" s="489"/>
      <c r="C47" s="492"/>
      <c r="D47" s="495"/>
      <c r="E47" s="483">
        <v>2015</v>
      </c>
      <c r="F47" s="484"/>
      <c r="G47" s="29">
        <v>271.6</v>
      </c>
      <c r="H47" s="28"/>
      <c r="I47" s="28"/>
      <c r="J47" s="28"/>
      <c r="K47" s="28"/>
      <c r="L47" s="28"/>
      <c r="M47" s="28"/>
      <c r="N47" s="28"/>
      <c r="O47" s="29">
        <v>31695.8</v>
      </c>
      <c r="P47" s="29">
        <v>461</v>
      </c>
      <c r="Q47" s="29">
        <v>204.7</v>
      </c>
      <c r="R47" s="29"/>
    </row>
    <row r="48" spans="1:18" ht="18">
      <c r="A48" s="486"/>
      <c r="B48" s="489"/>
      <c r="C48" s="492"/>
      <c r="D48" s="495"/>
      <c r="E48" s="483">
        <v>2016</v>
      </c>
      <c r="F48" s="484"/>
      <c r="G48" s="29">
        <v>256.7</v>
      </c>
      <c r="H48" s="28"/>
      <c r="I48" s="28"/>
      <c r="J48" s="28"/>
      <c r="K48" s="28"/>
      <c r="L48" s="28"/>
      <c r="M48" s="28"/>
      <c r="N48" s="28"/>
      <c r="O48" s="29">
        <v>31696</v>
      </c>
      <c r="P48" s="29">
        <v>461</v>
      </c>
      <c r="Q48" s="29">
        <v>235.3</v>
      </c>
      <c r="R48" s="29"/>
    </row>
    <row r="49" spans="1:18" ht="18">
      <c r="A49" s="486"/>
      <c r="B49" s="489"/>
      <c r="C49" s="493"/>
      <c r="D49" s="496"/>
      <c r="E49" s="401">
        <v>2017</v>
      </c>
      <c r="F49" s="401">
        <v>2016</v>
      </c>
      <c r="G49" s="29">
        <v>228.9</v>
      </c>
      <c r="H49" s="28"/>
      <c r="I49" s="28"/>
      <c r="J49" s="28"/>
      <c r="K49" s="28"/>
      <c r="L49" s="28"/>
      <c r="M49" s="28"/>
      <c r="N49" s="28"/>
      <c r="O49" s="29">
        <v>31696</v>
      </c>
      <c r="P49" s="29">
        <v>461</v>
      </c>
      <c r="Q49" s="29">
        <v>235.3</v>
      </c>
      <c r="R49" s="29"/>
    </row>
    <row r="50" spans="1:18" ht="57" customHeight="1">
      <c r="A50" s="485">
        <v>8</v>
      </c>
      <c r="B50" s="489"/>
      <c r="C50" s="491" t="s">
        <v>292</v>
      </c>
      <c r="D50" s="494" t="s">
        <v>113</v>
      </c>
      <c r="E50" s="481" t="s">
        <v>368</v>
      </c>
      <c r="F50" s="482"/>
      <c r="G50" s="29">
        <f>G51+G52+G53+G54</f>
        <v>43.1</v>
      </c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</row>
    <row r="51" spans="1:18" ht="18">
      <c r="A51" s="486"/>
      <c r="B51" s="489"/>
      <c r="C51" s="492"/>
      <c r="D51" s="495"/>
      <c r="E51" s="483">
        <v>2014</v>
      </c>
      <c r="F51" s="484"/>
      <c r="G51" s="29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</row>
    <row r="52" spans="1:18" ht="18">
      <c r="A52" s="486"/>
      <c r="B52" s="489"/>
      <c r="C52" s="492"/>
      <c r="D52" s="495"/>
      <c r="E52" s="483">
        <v>2015</v>
      </c>
      <c r="F52" s="484"/>
      <c r="G52" s="29">
        <v>43.1</v>
      </c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</row>
    <row r="53" spans="1:18" ht="18">
      <c r="A53" s="486"/>
      <c r="B53" s="489"/>
      <c r="C53" s="492"/>
      <c r="D53" s="495"/>
      <c r="E53" s="483">
        <v>2016</v>
      </c>
      <c r="F53" s="484"/>
      <c r="G53" s="29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</row>
    <row r="54" spans="1:18" ht="18">
      <c r="A54" s="487"/>
      <c r="B54" s="490"/>
      <c r="C54" s="493"/>
      <c r="D54" s="496"/>
      <c r="E54" s="401">
        <v>2017</v>
      </c>
      <c r="F54" s="401">
        <v>2016</v>
      </c>
      <c r="G54" s="29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</row>
    <row r="55" spans="1:18" ht="29.25" customHeight="1">
      <c r="A55" s="485"/>
      <c r="B55" s="497" t="s">
        <v>308</v>
      </c>
      <c r="C55" s="498"/>
      <c r="D55" s="499"/>
      <c r="E55" s="481" t="s">
        <v>368</v>
      </c>
      <c r="F55" s="482"/>
      <c r="G55" s="29">
        <f>G56+G57+G58+G59</f>
        <v>1057.036</v>
      </c>
      <c r="H55" s="29"/>
      <c r="I55" s="29"/>
      <c r="J55" s="29"/>
      <c r="K55" s="29"/>
      <c r="L55" s="29"/>
      <c r="M55" s="29"/>
      <c r="N55" s="29"/>
      <c r="O55" s="29">
        <f>O56+O57+O58+O59</f>
        <v>126783.5</v>
      </c>
      <c r="P55" s="29">
        <f>P56+P57+P58+P59</f>
        <v>1844</v>
      </c>
      <c r="Q55" s="29">
        <f>Q56+Q57+Q58+Q59</f>
        <v>760.5</v>
      </c>
      <c r="R55" s="29">
        <f>R56+R57+R58+R59</f>
        <v>10</v>
      </c>
    </row>
    <row r="56" spans="1:18" ht="18">
      <c r="A56" s="486"/>
      <c r="B56" s="500"/>
      <c r="C56" s="501"/>
      <c r="D56" s="502"/>
      <c r="E56" s="483">
        <v>2014</v>
      </c>
      <c r="F56" s="484"/>
      <c r="G56" s="29">
        <f>G46+G51</f>
        <v>256.736</v>
      </c>
      <c r="H56" s="29"/>
      <c r="I56" s="29"/>
      <c r="J56" s="29"/>
      <c r="K56" s="29"/>
      <c r="L56" s="29"/>
      <c r="M56" s="29"/>
      <c r="N56" s="29"/>
      <c r="O56" s="29">
        <v>31695.7</v>
      </c>
      <c r="P56" s="29">
        <v>461</v>
      </c>
      <c r="Q56" s="29">
        <v>85.2</v>
      </c>
      <c r="R56" s="29">
        <v>10</v>
      </c>
    </row>
    <row r="57" spans="1:18" ht="18">
      <c r="A57" s="486"/>
      <c r="B57" s="500"/>
      <c r="C57" s="501"/>
      <c r="D57" s="502"/>
      <c r="E57" s="483">
        <v>2015</v>
      </c>
      <c r="F57" s="484"/>
      <c r="G57" s="29">
        <f>G47+G52</f>
        <v>314.70000000000005</v>
      </c>
      <c r="H57" s="29"/>
      <c r="I57" s="29"/>
      <c r="J57" s="29"/>
      <c r="K57" s="29"/>
      <c r="L57" s="29"/>
      <c r="M57" s="29"/>
      <c r="N57" s="29"/>
      <c r="O57" s="29">
        <v>31695.8</v>
      </c>
      <c r="P57" s="29">
        <v>461</v>
      </c>
      <c r="Q57" s="29">
        <v>204.7</v>
      </c>
      <c r="R57" s="29"/>
    </row>
    <row r="58" spans="1:18" ht="18">
      <c r="A58" s="486"/>
      <c r="B58" s="500"/>
      <c r="C58" s="501"/>
      <c r="D58" s="502"/>
      <c r="E58" s="483">
        <v>2016</v>
      </c>
      <c r="F58" s="484"/>
      <c r="G58" s="29">
        <f>G48+G53</f>
        <v>256.7</v>
      </c>
      <c r="H58" s="29"/>
      <c r="I58" s="29"/>
      <c r="J58" s="29"/>
      <c r="K58" s="29"/>
      <c r="L58" s="29"/>
      <c r="M58" s="29"/>
      <c r="N58" s="29"/>
      <c r="O58" s="29">
        <v>31696</v>
      </c>
      <c r="P58" s="29">
        <v>461</v>
      </c>
      <c r="Q58" s="29">
        <v>235.3</v>
      </c>
      <c r="R58" s="29"/>
    </row>
    <row r="59" spans="1:18" ht="18">
      <c r="A59" s="487"/>
      <c r="B59" s="503"/>
      <c r="C59" s="504"/>
      <c r="D59" s="505"/>
      <c r="E59" s="401">
        <v>2017</v>
      </c>
      <c r="F59" s="401">
        <v>2016</v>
      </c>
      <c r="G59" s="29">
        <f>G49+G54</f>
        <v>228.9</v>
      </c>
      <c r="H59" s="29"/>
      <c r="I59" s="29"/>
      <c r="J59" s="29"/>
      <c r="K59" s="29"/>
      <c r="L59" s="29"/>
      <c r="M59" s="29"/>
      <c r="N59" s="29"/>
      <c r="O59" s="29">
        <v>31696</v>
      </c>
      <c r="P59" s="29">
        <v>461</v>
      </c>
      <c r="Q59" s="29">
        <v>235.3</v>
      </c>
      <c r="R59" s="29"/>
    </row>
    <row r="60" spans="1:18" ht="30.75" customHeight="1">
      <c r="A60" s="485">
        <v>9</v>
      </c>
      <c r="B60" s="488" t="s">
        <v>227</v>
      </c>
      <c r="C60" s="491" t="s">
        <v>310</v>
      </c>
      <c r="D60" s="494" t="s">
        <v>311</v>
      </c>
      <c r="E60" s="481" t="s">
        <v>368</v>
      </c>
      <c r="F60" s="482"/>
      <c r="G60" s="80">
        <f>G61+G62+G63+G64</f>
        <v>23</v>
      </c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</row>
    <row r="61" spans="1:18" ht="18">
      <c r="A61" s="486"/>
      <c r="B61" s="489"/>
      <c r="C61" s="492"/>
      <c r="D61" s="495"/>
      <c r="E61" s="483">
        <v>2014</v>
      </c>
      <c r="F61" s="484"/>
      <c r="G61" s="80">
        <v>0</v>
      </c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</row>
    <row r="62" spans="1:18" ht="18">
      <c r="A62" s="486"/>
      <c r="B62" s="489"/>
      <c r="C62" s="492"/>
      <c r="D62" s="495"/>
      <c r="E62" s="483">
        <v>2015</v>
      </c>
      <c r="F62" s="484"/>
      <c r="G62" s="80">
        <v>8</v>
      </c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</row>
    <row r="63" spans="1:18" ht="18">
      <c r="A63" s="486"/>
      <c r="B63" s="489"/>
      <c r="C63" s="492"/>
      <c r="D63" s="495"/>
      <c r="E63" s="483">
        <v>2016</v>
      </c>
      <c r="F63" s="484"/>
      <c r="G63" s="80">
        <v>15</v>
      </c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</row>
    <row r="64" spans="1:18" ht="29.25" customHeight="1">
      <c r="A64" s="487"/>
      <c r="B64" s="490"/>
      <c r="C64" s="493"/>
      <c r="D64" s="496"/>
      <c r="E64" s="401">
        <v>2017</v>
      </c>
      <c r="F64" s="401">
        <v>2016</v>
      </c>
      <c r="G64" s="29">
        <v>0</v>
      </c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</row>
    <row r="65" spans="1:18" ht="54" customHeight="1">
      <c r="A65" s="485">
        <v>10</v>
      </c>
      <c r="B65" s="488" t="s">
        <v>227</v>
      </c>
      <c r="C65" s="491" t="s">
        <v>312</v>
      </c>
      <c r="D65" s="494" t="s">
        <v>311</v>
      </c>
      <c r="E65" s="481" t="s">
        <v>368</v>
      </c>
      <c r="F65" s="482"/>
      <c r="G65" s="80">
        <f>G66+G67+G68+G69</f>
        <v>4</v>
      </c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190"/>
    </row>
    <row r="66" spans="1:18" ht="19.5" customHeight="1">
      <c r="A66" s="486"/>
      <c r="B66" s="489"/>
      <c r="C66" s="492"/>
      <c r="D66" s="495"/>
      <c r="E66" s="483">
        <v>2014</v>
      </c>
      <c r="F66" s="484"/>
      <c r="G66" s="80">
        <v>4</v>
      </c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9"/>
    </row>
    <row r="67" spans="1:18" ht="19.5" customHeight="1">
      <c r="A67" s="486"/>
      <c r="B67" s="489"/>
      <c r="C67" s="492"/>
      <c r="D67" s="495"/>
      <c r="E67" s="483">
        <v>2015</v>
      </c>
      <c r="F67" s="484"/>
      <c r="G67" s="80">
        <v>0</v>
      </c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9"/>
    </row>
    <row r="68" spans="1:18" ht="19.5" customHeight="1">
      <c r="A68" s="486"/>
      <c r="B68" s="489"/>
      <c r="C68" s="492"/>
      <c r="D68" s="495"/>
      <c r="E68" s="483">
        <v>2016</v>
      </c>
      <c r="F68" s="484"/>
      <c r="G68" s="80">
        <v>0</v>
      </c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</row>
    <row r="69" spans="1:18" ht="19.5" customHeight="1">
      <c r="A69" s="487"/>
      <c r="B69" s="490"/>
      <c r="C69" s="493"/>
      <c r="D69" s="496"/>
      <c r="E69" s="401">
        <v>2017</v>
      </c>
      <c r="F69" s="401">
        <v>2016</v>
      </c>
      <c r="G69" s="80">
        <v>0</v>
      </c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</row>
    <row r="70" spans="1:18" ht="49.5" customHeight="1">
      <c r="A70" s="485">
        <v>11</v>
      </c>
      <c r="B70" s="488" t="s">
        <v>227</v>
      </c>
      <c r="C70" s="491" t="s">
        <v>313</v>
      </c>
      <c r="D70" s="494" t="s">
        <v>311</v>
      </c>
      <c r="E70" s="481" t="s">
        <v>368</v>
      </c>
      <c r="F70" s="482"/>
      <c r="G70" s="364">
        <f>G71+G72+G73+G74</f>
        <v>15</v>
      </c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</row>
    <row r="71" spans="1:18" ht="19.5" customHeight="1">
      <c r="A71" s="486"/>
      <c r="B71" s="489"/>
      <c r="C71" s="492"/>
      <c r="D71" s="495"/>
      <c r="E71" s="483">
        <v>2014</v>
      </c>
      <c r="F71" s="484"/>
      <c r="G71" s="364">
        <v>15</v>
      </c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</row>
    <row r="72" spans="1:18" ht="19.5" customHeight="1">
      <c r="A72" s="486"/>
      <c r="B72" s="489"/>
      <c r="C72" s="492"/>
      <c r="D72" s="495"/>
      <c r="E72" s="483">
        <v>2015</v>
      </c>
      <c r="F72" s="484"/>
      <c r="G72" s="80">
        <v>0</v>
      </c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</row>
    <row r="73" spans="1:18" ht="19.5" customHeight="1">
      <c r="A73" s="486"/>
      <c r="B73" s="489"/>
      <c r="C73" s="492"/>
      <c r="D73" s="495"/>
      <c r="E73" s="483">
        <v>2016</v>
      </c>
      <c r="F73" s="484"/>
      <c r="G73" s="80">
        <v>0</v>
      </c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</row>
    <row r="74" spans="1:18" ht="19.5" customHeight="1">
      <c r="A74" s="487"/>
      <c r="B74" s="490"/>
      <c r="C74" s="493"/>
      <c r="D74" s="496"/>
      <c r="E74" s="401">
        <v>2017</v>
      </c>
      <c r="F74" s="401">
        <v>2016</v>
      </c>
      <c r="G74" s="80">
        <v>0</v>
      </c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</row>
    <row r="75" spans="1:18" ht="48.75" customHeight="1">
      <c r="A75" s="485">
        <v>12</v>
      </c>
      <c r="B75" s="488" t="s">
        <v>227</v>
      </c>
      <c r="C75" s="491" t="s">
        <v>314</v>
      </c>
      <c r="D75" s="494" t="s">
        <v>315</v>
      </c>
      <c r="E75" s="481" t="s">
        <v>368</v>
      </c>
      <c r="F75" s="482"/>
      <c r="G75" s="80">
        <f>G76+G77+G78+G79</f>
        <v>40.5</v>
      </c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</row>
    <row r="76" spans="1:18" ht="19.5" customHeight="1">
      <c r="A76" s="486"/>
      <c r="B76" s="489"/>
      <c r="C76" s="492"/>
      <c r="D76" s="495"/>
      <c r="E76" s="483">
        <v>2014</v>
      </c>
      <c r="F76" s="484"/>
      <c r="G76" s="80">
        <v>10.5</v>
      </c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</row>
    <row r="77" spans="1:18" ht="19.5" customHeight="1">
      <c r="A77" s="486"/>
      <c r="B77" s="489"/>
      <c r="C77" s="492"/>
      <c r="D77" s="495"/>
      <c r="E77" s="483">
        <v>2015</v>
      </c>
      <c r="F77" s="484"/>
      <c r="G77" s="80">
        <v>10</v>
      </c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</row>
    <row r="78" spans="1:18" ht="19.5" customHeight="1">
      <c r="A78" s="486"/>
      <c r="B78" s="489"/>
      <c r="C78" s="492"/>
      <c r="D78" s="495"/>
      <c r="E78" s="483">
        <v>2016</v>
      </c>
      <c r="F78" s="484"/>
      <c r="G78" s="80">
        <v>10</v>
      </c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</row>
    <row r="79" spans="1:18" ht="19.5" customHeight="1">
      <c r="A79" s="487"/>
      <c r="B79" s="490"/>
      <c r="C79" s="493"/>
      <c r="D79" s="496"/>
      <c r="E79" s="401">
        <v>2017</v>
      </c>
      <c r="F79" s="401">
        <v>2016</v>
      </c>
      <c r="G79" s="80">
        <v>10</v>
      </c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</row>
    <row r="80" spans="1:18" ht="49.5" customHeight="1">
      <c r="A80" s="472" t="s">
        <v>316</v>
      </c>
      <c r="B80" s="473"/>
      <c r="C80" s="473"/>
      <c r="D80" s="474"/>
      <c r="E80" s="481" t="s">
        <v>368</v>
      </c>
      <c r="F80" s="482"/>
      <c r="G80" s="66">
        <f>G81+G82+G83+G84</f>
        <v>3721.9260000000004</v>
      </c>
      <c r="H80" s="66"/>
      <c r="I80" s="66"/>
      <c r="J80" s="193"/>
      <c r="K80" s="193"/>
      <c r="L80" s="66"/>
      <c r="M80" s="66"/>
      <c r="N80" s="66"/>
      <c r="O80" s="66"/>
      <c r="P80" s="66"/>
      <c r="Q80" s="66"/>
      <c r="R80" s="191"/>
    </row>
    <row r="81" spans="1:18" ht="18">
      <c r="A81" s="475"/>
      <c r="B81" s="476"/>
      <c r="C81" s="476"/>
      <c r="D81" s="477"/>
      <c r="E81" s="483">
        <v>2014</v>
      </c>
      <c r="F81" s="484"/>
      <c r="G81" s="365">
        <f>G76+G71+G66+G61+G56+G41+G36+G31+G16</f>
        <v>1425.679</v>
      </c>
      <c r="H81" s="66"/>
      <c r="I81" s="66"/>
      <c r="J81" s="193"/>
      <c r="K81" s="193"/>
      <c r="L81" s="66"/>
      <c r="M81" s="66"/>
      <c r="N81" s="66"/>
      <c r="O81" s="66"/>
      <c r="P81" s="66"/>
      <c r="Q81" s="66"/>
      <c r="R81" s="191"/>
    </row>
    <row r="82" spans="1:18" ht="18">
      <c r="A82" s="475"/>
      <c r="B82" s="476"/>
      <c r="C82" s="476"/>
      <c r="D82" s="477"/>
      <c r="E82" s="483">
        <v>2015</v>
      </c>
      <c r="F82" s="484"/>
      <c r="G82" s="365">
        <f>G77+G72+G67+G62+G57+G42+G37+G32+G17</f>
        <v>753.931</v>
      </c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191"/>
    </row>
    <row r="83" spans="1:18" ht="18">
      <c r="A83" s="475"/>
      <c r="B83" s="476"/>
      <c r="C83" s="476"/>
      <c r="D83" s="477"/>
      <c r="E83" s="483">
        <v>2016</v>
      </c>
      <c r="F83" s="484"/>
      <c r="G83" s="365">
        <f>G78+G73+G68+G63+G58+G43+G38+G33+G18</f>
        <v>799</v>
      </c>
      <c r="H83" s="66"/>
      <c r="I83" s="66"/>
      <c r="J83" s="66"/>
      <c r="K83" s="66"/>
      <c r="L83" s="66"/>
      <c r="M83" s="66"/>
      <c r="N83" s="66"/>
      <c r="O83" s="66"/>
      <c r="P83" s="66"/>
      <c r="Q83" s="66"/>
      <c r="R83" s="191"/>
    </row>
    <row r="84" spans="1:18" ht="18">
      <c r="A84" s="478"/>
      <c r="B84" s="479"/>
      <c r="C84" s="479"/>
      <c r="D84" s="480"/>
      <c r="E84" s="401">
        <v>2017</v>
      </c>
      <c r="F84" s="401">
        <v>2016</v>
      </c>
      <c r="G84" s="365">
        <f>G79+G74+G69+G64+G59+G44+G39+G34+G19</f>
        <v>743.316</v>
      </c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191"/>
    </row>
  </sheetData>
  <mergeCells count="146">
    <mergeCell ref="R15:R19"/>
    <mergeCell ref="E38:F38"/>
    <mergeCell ref="Q5:Q9"/>
    <mergeCell ref="E39:F39"/>
    <mergeCell ref="E36:F36"/>
    <mergeCell ref="E37:F37"/>
    <mergeCell ref="H3:H4"/>
    <mergeCell ref="I3:P3"/>
    <mergeCell ref="E35:F35"/>
    <mergeCell ref="E19:F19"/>
    <mergeCell ref="E15:F15"/>
    <mergeCell ref="E16:F16"/>
    <mergeCell ref="E9:F9"/>
    <mergeCell ref="A35:A39"/>
    <mergeCell ref="B35:B39"/>
    <mergeCell ref="C35:C39"/>
    <mergeCell ref="D35:D39"/>
    <mergeCell ref="Q1:R1"/>
    <mergeCell ref="A2:R2"/>
    <mergeCell ref="A3:A4"/>
    <mergeCell ref="B3:B4"/>
    <mergeCell ref="C3:C4"/>
    <mergeCell ref="D3:D4"/>
    <mergeCell ref="E3:F4"/>
    <mergeCell ref="Q3:Q4"/>
    <mergeCell ref="R3:R4"/>
    <mergeCell ref="G3:G4"/>
    <mergeCell ref="D5:D14"/>
    <mergeCell ref="R5:R9"/>
    <mergeCell ref="R10:R14"/>
    <mergeCell ref="E5:F5"/>
    <mergeCell ref="E6:F6"/>
    <mergeCell ref="E7:F7"/>
    <mergeCell ref="E8:F8"/>
    <mergeCell ref="A10:A14"/>
    <mergeCell ref="C10:C14"/>
    <mergeCell ref="E10:F10"/>
    <mergeCell ref="E11:F11"/>
    <mergeCell ref="E12:F12"/>
    <mergeCell ref="E13:F13"/>
    <mergeCell ref="E14:F14"/>
    <mergeCell ref="B5:B14"/>
    <mergeCell ref="A5:A9"/>
    <mergeCell ref="C5:C9"/>
    <mergeCell ref="A15:A19"/>
    <mergeCell ref="B15:D19"/>
    <mergeCell ref="E20:F20"/>
    <mergeCell ref="E21:F21"/>
    <mergeCell ref="A20:A24"/>
    <mergeCell ref="E17:F17"/>
    <mergeCell ref="E18:F18"/>
    <mergeCell ref="C20:C24"/>
    <mergeCell ref="D20:D29"/>
    <mergeCell ref="E22:F22"/>
    <mergeCell ref="A25:A29"/>
    <mergeCell ref="C25:C29"/>
    <mergeCell ref="E25:F25"/>
    <mergeCell ref="E26:F26"/>
    <mergeCell ref="E27:F27"/>
    <mergeCell ref="E28:F28"/>
    <mergeCell ref="E29:F29"/>
    <mergeCell ref="B20:B29"/>
    <mergeCell ref="E23:F23"/>
    <mergeCell ref="E24:F24"/>
    <mergeCell ref="A30:A34"/>
    <mergeCell ref="B30:D34"/>
    <mergeCell ref="E30:F30"/>
    <mergeCell ref="E31:F31"/>
    <mergeCell ref="E32:F32"/>
    <mergeCell ref="E33:F33"/>
    <mergeCell ref="E34:F34"/>
    <mergeCell ref="E42:F42"/>
    <mergeCell ref="E43:F43"/>
    <mergeCell ref="E44:F44"/>
    <mergeCell ref="A40:A44"/>
    <mergeCell ref="B40:B44"/>
    <mergeCell ref="C40:C44"/>
    <mergeCell ref="D40:D44"/>
    <mergeCell ref="E40:F40"/>
    <mergeCell ref="E41:F41"/>
    <mergeCell ref="A45:A49"/>
    <mergeCell ref="C45:C49"/>
    <mergeCell ref="A50:A54"/>
    <mergeCell ref="C50:C54"/>
    <mergeCell ref="B45:B54"/>
    <mergeCell ref="D45:D49"/>
    <mergeCell ref="E45:F45"/>
    <mergeCell ref="E46:F46"/>
    <mergeCell ref="E47:F47"/>
    <mergeCell ref="E48:F48"/>
    <mergeCell ref="E49:F49"/>
    <mergeCell ref="D50:D54"/>
    <mergeCell ref="E50:F50"/>
    <mergeCell ref="E51:F51"/>
    <mergeCell ref="E52:F52"/>
    <mergeCell ref="E53:F53"/>
    <mergeCell ref="E54:F54"/>
    <mergeCell ref="A55:A59"/>
    <mergeCell ref="B55:D59"/>
    <mergeCell ref="E55:F55"/>
    <mergeCell ref="E56:F56"/>
    <mergeCell ref="E57:F57"/>
    <mergeCell ref="E58:F58"/>
    <mergeCell ref="E59:F59"/>
    <mergeCell ref="A60:A64"/>
    <mergeCell ref="B60:B64"/>
    <mergeCell ref="C60:C64"/>
    <mergeCell ref="D60:D64"/>
    <mergeCell ref="E60:F60"/>
    <mergeCell ref="E61:F61"/>
    <mergeCell ref="E62:F62"/>
    <mergeCell ref="E63:F63"/>
    <mergeCell ref="E64:F64"/>
    <mergeCell ref="A65:A69"/>
    <mergeCell ref="B65:B69"/>
    <mergeCell ref="C65:C69"/>
    <mergeCell ref="D65:D69"/>
    <mergeCell ref="E65:F65"/>
    <mergeCell ref="E66:F66"/>
    <mergeCell ref="E67:F67"/>
    <mergeCell ref="E68:F68"/>
    <mergeCell ref="E69:F69"/>
    <mergeCell ref="A70:A74"/>
    <mergeCell ref="B70:B74"/>
    <mergeCell ref="C70:C74"/>
    <mergeCell ref="D70:D74"/>
    <mergeCell ref="E79:F79"/>
    <mergeCell ref="E70:F70"/>
    <mergeCell ref="E71:F71"/>
    <mergeCell ref="E72:F72"/>
    <mergeCell ref="E73:F73"/>
    <mergeCell ref="E74:F74"/>
    <mergeCell ref="E75:F75"/>
    <mergeCell ref="E76:F76"/>
    <mergeCell ref="E77:F77"/>
    <mergeCell ref="E78:F78"/>
    <mergeCell ref="A75:A79"/>
    <mergeCell ref="B75:B79"/>
    <mergeCell ref="C75:C79"/>
    <mergeCell ref="D75:D79"/>
    <mergeCell ref="A80:D84"/>
    <mergeCell ref="E80:F80"/>
    <mergeCell ref="E81:F81"/>
    <mergeCell ref="E82:F82"/>
    <mergeCell ref="E83:F83"/>
    <mergeCell ref="E84:F84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landscape" paperSize="9" scale="3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168"/>
  <sheetViews>
    <sheetView view="pageBreakPreview" zoomScale="50" zoomScaleNormal="50" zoomScaleSheetLayoutView="50" workbookViewId="0" topLeftCell="F129">
      <selection activeCell="B129" sqref="A1:IV16384"/>
    </sheetView>
  </sheetViews>
  <sheetFormatPr defaultColWidth="9.00390625" defaultRowHeight="12.75"/>
  <cols>
    <col min="1" max="1" width="94.25390625" style="205" customWidth="1"/>
    <col min="2" max="2" width="24.25390625" style="353" customWidth="1"/>
    <col min="3" max="5" width="14.00390625" style="205" bestFit="1" customWidth="1"/>
    <col min="6" max="6" width="14.125" style="205" bestFit="1" customWidth="1"/>
    <col min="7" max="7" width="13.75390625" style="205" customWidth="1"/>
    <col min="8" max="8" width="14.00390625" style="205" bestFit="1" customWidth="1"/>
    <col min="9" max="9" width="24.125" style="354" customWidth="1"/>
    <col min="10" max="11" width="19.00390625" style="205" customWidth="1"/>
    <col min="12" max="12" width="19.75390625" style="205" customWidth="1"/>
    <col min="13" max="13" width="19.125" style="205" customWidth="1"/>
    <col min="14" max="15" width="19.75390625" style="205" customWidth="1"/>
    <col min="16" max="17" width="18.125" style="205" bestFit="1" customWidth="1"/>
    <col min="18" max="18" width="16.375" style="205" customWidth="1"/>
    <col min="19" max="20" width="16.375" style="205" bestFit="1" customWidth="1"/>
    <col min="21" max="16384" width="9.125" style="205" customWidth="1"/>
  </cols>
  <sheetData>
    <row r="1" spans="1:28" ht="22.5" customHeight="1">
      <c r="A1" s="269"/>
      <c r="B1" s="270"/>
      <c r="C1" s="269"/>
      <c r="D1" s="269"/>
      <c r="E1" s="269"/>
      <c r="F1" s="269"/>
      <c r="G1" s="269"/>
      <c r="H1" s="269"/>
      <c r="I1" s="15"/>
      <c r="J1" s="15"/>
      <c r="K1" s="15"/>
      <c r="L1" s="15"/>
      <c r="M1" s="15"/>
      <c r="N1" s="15"/>
      <c r="O1" s="393" t="s">
        <v>237</v>
      </c>
      <c r="P1" s="393"/>
      <c r="Q1" s="393"/>
      <c r="R1" s="393"/>
      <c r="S1" s="393"/>
      <c r="T1" s="393"/>
      <c r="U1" s="14"/>
      <c r="V1" s="14"/>
      <c r="W1" s="14"/>
      <c r="X1" s="14"/>
      <c r="Y1" s="14"/>
      <c r="Z1" s="14"/>
      <c r="AA1" s="14"/>
      <c r="AB1" s="14"/>
    </row>
    <row r="2" spans="1:20" ht="101.25" customHeight="1">
      <c r="A2" s="394" t="s">
        <v>215</v>
      </c>
      <c r="B2" s="394"/>
      <c r="C2" s="394"/>
      <c r="D2" s="394"/>
      <c r="E2" s="394"/>
      <c r="F2" s="394"/>
      <c r="G2" s="394"/>
      <c r="H2" s="394"/>
      <c r="I2" s="394"/>
      <c r="J2" s="394"/>
      <c r="K2" s="394"/>
      <c r="L2" s="394"/>
      <c r="M2" s="394"/>
      <c r="N2" s="394"/>
      <c r="O2" s="394"/>
      <c r="P2" s="394"/>
      <c r="Q2" s="394"/>
      <c r="R2" s="394"/>
      <c r="S2" s="394"/>
      <c r="T2" s="394"/>
    </row>
    <row r="4" spans="1:33" ht="97.5" customHeight="1">
      <c r="A4" s="395" t="s">
        <v>74</v>
      </c>
      <c r="B4" s="396" t="s">
        <v>96</v>
      </c>
      <c r="C4" s="397"/>
      <c r="D4" s="397"/>
      <c r="E4" s="397"/>
      <c r="F4" s="397"/>
      <c r="G4" s="397"/>
      <c r="H4" s="397"/>
      <c r="I4" s="398" t="s">
        <v>18</v>
      </c>
      <c r="J4" s="396" t="s">
        <v>19</v>
      </c>
      <c r="K4" s="397"/>
      <c r="L4" s="397"/>
      <c r="M4" s="397"/>
      <c r="N4" s="397"/>
      <c r="O4" s="397"/>
      <c r="P4" s="399" t="s">
        <v>93</v>
      </c>
      <c r="Q4" s="399"/>
      <c r="R4" s="399"/>
      <c r="S4" s="399"/>
      <c r="T4" s="399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</row>
    <row r="5" spans="1:33" ht="78.75" customHeight="1">
      <c r="A5" s="395"/>
      <c r="B5" s="1" t="s">
        <v>11</v>
      </c>
      <c r="C5" s="1" t="s">
        <v>253</v>
      </c>
      <c r="D5" s="1" t="s">
        <v>327</v>
      </c>
      <c r="E5" s="1" t="s">
        <v>111</v>
      </c>
      <c r="F5" s="1" t="s">
        <v>169</v>
      </c>
      <c r="G5" s="1" t="s">
        <v>328</v>
      </c>
      <c r="H5" s="1" t="s">
        <v>329</v>
      </c>
      <c r="I5" s="398"/>
      <c r="J5" s="1" t="s">
        <v>253</v>
      </c>
      <c r="K5" s="1" t="s">
        <v>327</v>
      </c>
      <c r="L5" s="1" t="s">
        <v>111</v>
      </c>
      <c r="M5" s="1" t="s">
        <v>169</v>
      </c>
      <c r="N5" s="1" t="s">
        <v>328</v>
      </c>
      <c r="O5" s="1" t="s">
        <v>329</v>
      </c>
      <c r="P5" s="1" t="s">
        <v>327</v>
      </c>
      <c r="Q5" s="1" t="s">
        <v>111</v>
      </c>
      <c r="R5" s="1" t="s">
        <v>169</v>
      </c>
      <c r="S5" s="1" t="s">
        <v>328</v>
      </c>
      <c r="T5" s="1" t="s">
        <v>329</v>
      </c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1:33" ht="81">
      <c r="A6" s="16" t="s">
        <v>20</v>
      </c>
      <c r="B6" s="17">
        <v>1</v>
      </c>
      <c r="C6" s="17">
        <v>2</v>
      </c>
      <c r="D6" s="17">
        <v>3</v>
      </c>
      <c r="E6" s="17">
        <v>4</v>
      </c>
      <c r="F6" s="17">
        <v>5</v>
      </c>
      <c r="G6" s="17">
        <v>6</v>
      </c>
      <c r="H6" s="17">
        <v>7</v>
      </c>
      <c r="I6" s="17">
        <v>8</v>
      </c>
      <c r="J6" s="17">
        <v>9</v>
      </c>
      <c r="K6" s="17">
        <v>10</v>
      </c>
      <c r="L6" s="17">
        <v>11</v>
      </c>
      <c r="M6" s="17">
        <v>12</v>
      </c>
      <c r="N6" s="17">
        <v>13</v>
      </c>
      <c r="O6" s="17">
        <v>14</v>
      </c>
      <c r="P6" s="18" t="s">
        <v>255</v>
      </c>
      <c r="Q6" s="18" t="s">
        <v>256</v>
      </c>
      <c r="R6" s="18" t="s">
        <v>257</v>
      </c>
      <c r="S6" s="18" t="s">
        <v>258</v>
      </c>
      <c r="T6" s="18" t="s">
        <v>259</v>
      </c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</row>
    <row r="7" spans="1:33" ht="27">
      <c r="A7" s="387" t="s">
        <v>21</v>
      </c>
      <c r="B7" s="388"/>
      <c r="C7" s="388"/>
      <c r="D7" s="388"/>
      <c r="E7" s="388"/>
      <c r="F7" s="388"/>
      <c r="G7" s="388"/>
      <c r="H7" s="388"/>
      <c r="I7" s="388"/>
      <c r="J7" s="388"/>
      <c r="K7" s="388"/>
      <c r="L7" s="388"/>
      <c r="M7" s="388"/>
      <c r="N7" s="388"/>
      <c r="O7" s="388"/>
      <c r="P7" s="388"/>
      <c r="Q7" s="388"/>
      <c r="R7" s="388"/>
      <c r="S7" s="388"/>
      <c r="T7" s="388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</row>
    <row r="8" spans="1:33" ht="27">
      <c r="A8" s="389" t="s">
        <v>231</v>
      </c>
      <c r="B8" s="389"/>
      <c r="C8" s="389"/>
      <c r="D8" s="389"/>
      <c r="E8" s="389"/>
      <c r="F8" s="389"/>
      <c r="G8" s="389"/>
      <c r="H8" s="389"/>
      <c r="I8" s="389"/>
      <c r="J8" s="389"/>
      <c r="K8" s="389"/>
      <c r="L8" s="389"/>
      <c r="M8" s="389"/>
      <c r="N8" s="389"/>
      <c r="O8" s="389"/>
      <c r="P8" s="389"/>
      <c r="Q8" s="389"/>
      <c r="R8" s="389"/>
      <c r="S8" s="389"/>
      <c r="T8" s="389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</row>
    <row r="9" spans="1:33" ht="51">
      <c r="A9" s="71" t="s">
        <v>232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</row>
    <row r="10" spans="1:33" ht="27">
      <c r="A10" s="72" t="s">
        <v>125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</row>
    <row r="11" spans="1:33" ht="26.25">
      <c r="A11" s="73" t="s">
        <v>233</v>
      </c>
      <c r="B11" s="74" t="s">
        <v>22</v>
      </c>
      <c r="C11" s="74">
        <v>65.4</v>
      </c>
      <c r="D11" s="74">
        <v>42.5</v>
      </c>
      <c r="E11" s="74">
        <v>75</v>
      </c>
      <c r="F11" s="74">
        <v>80</v>
      </c>
      <c r="G11" s="74">
        <v>85</v>
      </c>
      <c r="H11" s="74">
        <v>90</v>
      </c>
      <c r="I11" s="74">
        <v>142.51</v>
      </c>
      <c r="J11" s="74">
        <f>I11*C11</f>
        <v>9320.154</v>
      </c>
      <c r="K11" s="74">
        <f>I11*D11</f>
        <v>6056.674999999999</v>
      </c>
      <c r="L11" s="74">
        <f>I11*E11</f>
        <v>10688.25</v>
      </c>
      <c r="M11" s="74">
        <f>I11*F11</f>
        <v>11400.8</v>
      </c>
      <c r="N11" s="74">
        <f>I11*G11</f>
        <v>12113.349999999999</v>
      </c>
      <c r="O11" s="74">
        <f>I11*H11</f>
        <v>12825.9</v>
      </c>
      <c r="P11" s="74"/>
      <c r="Q11" s="74"/>
      <c r="R11" s="74"/>
      <c r="S11" s="74"/>
      <c r="T11" s="74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</row>
    <row r="12" spans="1:33" ht="27.75">
      <c r="A12" s="103" t="s">
        <v>114</v>
      </c>
      <c r="B12" s="104"/>
      <c r="C12" s="105" t="s">
        <v>73</v>
      </c>
      <c r="D12" s="105" t="s">
        <v>73</v>
      </c>
      <c r="E12" s="105" t="s">
        <v>73</v>
      </c>
      <c r="F12" s="105" t="s">
        <v>73</v>
      </c>
      <c r="G12" s="105" t="s">
        <v>73</v>
      </c>
      <c r="H12" s="105" t="s">
        <v>73</v>
      </c>
      <c r="I12" s="105"/>
      <c r="J12" s="105">
        <f aca="true" t="shared" si="0" ref="J12:O12">J11</f>
        <v>9320.154</v>
      </c>
      <c r="K12" s="105">
        <f t="shared" si="0"/>
        <v>6056.674999999999</v>
      </c>
      <c r="L12" s="105">
        <f t="shared" si="0"/>
        <v>10688.25</v>
      </c>
      <c r="M12" s="105">
        <f t="shared" si="0"/>
        <v>11400.8</v>
      </c>
      <c r="N12" s="105">
        <f t="shared" si="0"/>
        <v>12113.349999999999</v>
      </c>
      <c r="O12" s="105">
        <f t="shared" si="0"/>
        <v>12825.9</v>
      </c>
      <c r="P12" s="271">
        <f>K12/J12*100</f>
        <v>64.98470948012232</v>
      </c>
      <c r="Q12" s="271">
        <f>L12/K12*100</f>
        <v>176.47058823529414</v>
      </c>
      <c r="R12" s="271">
        <f>M12/L12*100</f>
        <v>106.66666666666667</v>
      </c>
      <c r="S12" s="271">
        <f>N12/M12*100</f>
        <v>106.25</v>
      </c>
      <c r="T12" s="271">
        <f>O12/N12*100</f>
        <v>105.88235294117648</v>
      </c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</row>
    <row r="13" spans="1:20" ht="27">
      <c r="A13" s="390" t="s">
        <v>25</v>
      </c>
      <c r="B13" s="390"/>
      <c r="C13" s="390"/>
      <c r="D13" s="390"/>
      <c r="E13" s="390"/>
      <c r="F13" s="390"/>
      <c r="G13" s="390"/>
      <c r="H13" s="390"/>
      <c r="I13" s="390"/>
      <c r="J13" s="390"/>
      <c r="K13" s="390"/>
      <c r="L13" s="390"/>
      <c r="M13" s="390"/>
      <c r="N13" s="390"/>
      <c r="O13" s="390"/>
      <c r="P13" s="390"/>
      <c r="Q13" s="390"/>
      <c r="R13" s="390"/>
      <c r="S13" s="390"/>
      <c r="T13" s="390"/>
    </row>
    <row r="14" spans="1:20" ht="27">
      <c r="A14" s="75"/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</row>
    <row r="15" spans="1:20" ht="52.5" customHeight="1">
      <c r="A15" s="76" t="s">
        <v>86</v>
      </c>
      <c r="B15" s="77"/>
      <c r="C15" s="74"/>
      <c r="D15" s="74"/>
      <c r="E15" s="74"/>
      <c r="F15" s="74"/>
      <c r="G15" s="74"/>
      <c r="H15" s="74"/>
      <c r="I15" s="68"/>
      <c r="J15" s="78"/>
      <c r="K15" s="78"/>
      <c r="L15" s="78"/>
      <c r="M15" s="78"/>
      <c r="N15" s="78"/>
      <c r="O15" s="78"/>
      <c r="P15" s="79"/>
      <c r="Q15" s="79"/>
      <c r="R15" s="79"/>
      <c r="S15" s="79"/>
      <c r="T15" s="79"/>
    </row>
    <row r="16" spans="1:20" ht="27" customHeight="1">
      <c r="A16" s="30" t="s">
        <v>260</v>
      </c>
      <c r="B16" s="19"/>
      <c r="C16" s="3"/>
      <c r="D16" s="3"/>
      <c r="E16" s="3"/>
      <c r="F16" s="3"/>
      <c r="G16" s="3"/>
      <c r="H16" s="3"/>
      <c r="I16" s="23"/>
      <c r="J16" s="4"/>
      <c r="K16" s="4"/>
      <c r="L16" s="4"/>
      <c r="M16" s="4"/>
      <c r="N16" s="4"/>
      <c r="O16" s="4"/>
      <c r="P16" s="69"/>
      <c r="Q16" s="69"/>
      <c r="R16" s="69"/>
      <c r="S16" s="69"/>
      <c r="T16" s="69"/>
    </row>
    <row r="17" spans="1:20" ht="26.25">
      <c r="A17" s="272" t="s">
        <v>84</v>
      </c>
      <c r="B17" s="107" t="s">
        <v>23</v>
      </c>
      <c r="C17" s="106">
        <v>10</v>
      </c>
      <c r="D17" s="106">
        <v>31.5</v>
      </c>
      <c r="E17" s="106">
        <v>30</v>
      </c>
      <c r="F17" s="106">
        <v>30</v>
      </c>
      <c r="G17" s="106">
        <v>30</v>
      </c>
      <c r="H17" s="106">
        <v>30</v>
      </c>
      <c r="I17" s="266">
        <v>39.05</v>
      </c>
      <c r="J17" s="273">
        <f aca="true" t="shared" si="1" ref="J17:J25">I17*C17</f>
        <v>390.5</v>
      </c>
      <c r="K17" s="273">
        <f aca="true" t="shared" si="2" ref="K17:K25">I17*D17</f>
        <v>1230.0749999999998</v>
      </c>
      <c r="L17" s="273">
        <f aca="true" t="shared" si="3" ref="L17:L25">I17*E17</f>
        <v>1171.5</v>
      </c>
      <c r="M17" s="273">
        <f aca="true" t="shared" si="4" ref="M17:M25">I17*F17</f>
        <v>1171.5</v>
      </c>
      <c r="N17" s="273">
        <f aca="true" t="shared" si="5" ref="N17:N25">I17*G17</f>
        <v>1171.5</v>
      </c>
      <c r="O17" s="273">
        <f aca="true" t="shared" si="6" ref="O17:O25">I17*H17</f>
        <v>1171.5</v>
      </c>
      <c r="P17" s="274">
        <f aca="true" t="shared" si="7" ref="P17:T19">K17/J17*100</f>
        <v>314.99999999999994</v>
      </c>
      <c r="Q17" s="274">
        <f t="shared" si="7"/>
        <v>95.23809523809526</v>
      </c>
      <c r="R17" s="274">
        <f t="shared" si="7"/>
        <v>100</v>
      </c>
      <c r="S17" s="274">
        <f t="shared" si="7"/>
        <v>100</v>
      </c>
      <c r="T17" s="274">
        <f t="shared" si="7"/>
        <v>100</v>
      </c>
    </row>
    <row r="18" spans="1:20" ht="26.25">
      <c r="A18" s="272" t="s">
        <v>26</v>
      </c>
      <c r="B18" s="107" t="s">
        <v>23</v>
      </c>
      <c r="C18" s="106">
        <v>11.6</v>
      </c>
      <c r="D18" s="106">
        <v>14</v>
      </c>
      <c r="E18" s="106">
        <v>10</v>
      </c>
      <c r="F18" s="106">
        <v>12</v>
      </c>
      <c r="G18" s="106">
        <v>12</v>
      </c>
      <c r="H18" s="106">
        <v>12</v>
      </c>
      <c r="I18" s="266">
        <v>54.96</v>
      </c>
      <c r="J18" s="273">
        <f t="shared" si="1"/>
        <v>637.536</v>
      </c>
      <c r="K18" s="273">
        <f t="shared" si="2"/>
        <v>769.44</v>
      </c>
      <c r="L18" s="273">
        <f t="shared" si="3"/>
        <v>549.6</v>
      </c>
      <c r="M18" s="273">
        <f t="shared" si="4"/>
        <v>659.52</v>
      </c>
      <c r="N18" s="273">
        <f t="shared" si="5"/>
        <v>659.52</v>
      </c>
      <c r="O18" s="273">
        <f t="shared" si="6"/>
        <v>659.52</v>
      </c>
      <c r="P18" s="274">
        <f t="shared" si="7"/>
        <v>120.68965517241381</v>
      </c>
      <c r="Q18" s="274">
        <f t="shared" si="7"/>
        <v>71.42857142857143</v>
      </c>
      <c r="R18" s="274">
        <f t="shared" si="7"/>
        <v>120</v>
      </c>
      <c r="S18" s="274">
        <f t="shared" si="7"/>
        <v>100</v>
      </c>
      <c r="T18" s="274">
        <f t="shared" si="7"/>
        <v>100</v>
      </c>
    </row>
    <row r="19" spans="1:20" ht="26.25">
      <c r="A19" s="272" t="s">
        <v>27</v>
      </c>
      <c r="B19" s="107" t="s">
        <v>23</v>
      </c>
      <c r="C19" s="106">
        <v>1</v>
      </c>
      <c r="D19" s="106">
        <v>0.2</v>
      </c>
      <c r="E19" s="106">
        <v>0</v>
      </c>
      <c r="F19" s="106">
        <v>1</v>
      </c>
      <c r="G19" s="106">
        <v>1</v>
      </c>
      <c r="H19" s="106">
        <v>1</v>
      </c>
      <c r="I19" s="266">
        <v>30</v>
      </c>
      <c r="J19" s="273">
        <f t="shared" si="1"/>
        <v>30</v>
      </c>
      <c r="K19" s="273">
        <f>I19*D19</f>
        <v>6</v>
      </c>
      <c r="L19" s="273">
        <f t="shared" si="3"/>
        <v>0</v>
      </c>
      <c r="M19" s="273">
        <f t="shared" si="4"/>
        <v>30</v>
      </c>
      <c r="N19" s="273">
        <f t="shared" si="5"/>
        <v>30</v>
      </c>
      <c r="O19" s="273">
        <f t="shared" si="6"/>
        <v>30</v>
      </c>
      <c r="P19" s="274">
        <f>K19/J19*100</f>
        <v>20</v>
      </c>
      <c r="Q19" s="274">
        <f>L19/K19*100</f>
        <v>0</v>
      </c>
      <c r="R19" s="274">
        <v>0</v>
      </c>
      <c r="S19" s="274">
        <f t="shared" si="7"/>
        <v>100</v>
      </c>
      <c r="T19" s="274">
        <f t="shared" si="7"/>
        <v>100</v>
      </c>
    </row>
    <row r="20" spans="1:20" ht="26.25">
      <c r="A20" s="272" t="s">
        <v>34</v>
      </c>
      <c r="B20" s="107" t="s">
        <v>23</v>
      </c>
      <c r="C20" s="106">
        <v>0</v>
      </c>
      <c r="D20" s="106">
        <v>0</v>
      </c>
      <c r="E20" s="106">
        <v>0</v>
      </c>
      <c r="F20" s="106">
        <v>0</v>
      </c>
      <c r="G20" s="106">
        <v>0</v>
      </c>
      <c r="H20" s="106">
        <v>0</v>
      </c>
      <c r="I20" s="266">
        <v>5.79</v>
      </c>
      <c r="J20" s="273">
        <f t="shared" si="1"/>
        <v>0</v>
      </c>
      <c r="K20" s="273">
        <f t="shared" si="2"/>
        <v>0</v>
      </c>
      <c r="L20" s="273">
        <f t="shared" si="3"/>
        <v>0</v>
      </c>
      <c r="M20" s="273">
        <f t="shared" si="4"/>
        <v>0</v>
      </c>
      <c r="N20" s="273">
        <f t="shared" si="5"/>
        <v>0</v>
      </c>
      <c r="O20" s="273">
        <f>I20*H20</f>
        <v>0</v>
      </c>
      <c r="P20" s="274">
        <v>0</v>
      </c>
      <c r="Q20" s="274">
        <v>0</v>
      </c>
      <c r="R20" s="274">
        <v>0</v>
      </c>
      <c r="S20" s="274">
        <v>0</v>
      </c>
      <c r="T20" s="274">
        <v>0</v>
      </c>
    </row>
    <row r="21" spans="1:20" ht="26.25">
      <c r="A21" s="272" t="s">
        <v>35</v>
      </c>
      <c r="B21" s="107" t="s">
        <v>23</v>
      </c>
      <c r="C21" s="106">
        <v>60</v>
      </c>
      <c r="D21" s="106">
        <v>0</v>
      </c>
      <c r="E21" s="106">
        <v>0</v>
      </c>
      <c r="F21" s="106">
        <v>0</v>
      </c>
      <c r="G21" s="106">
        <v>0</v>
      </c>
      <c r="H21" s="106">
        <v>0</v>
      </c>
      <c r="I21" s="266">
        <v>9.33</v>
      </c>
      <c r="J21" s="273">
        <f t="shared" si="1"/>
        <v>559.8</v>
      </c>
      <c r="K21" s="273">
        <f t="shared" si="2"/>
        <v>0</v>
      </c>
      <c r="L21" s="273">
        <f t="shared" si="3"/>
        <v>0</v>
      </c>
      <c r="M21" s="273">
        <f t="shared" si="4"/>
        <v>0</v>
      </c>
      <c r="N21" s="273">
        <f t="shared" si="5"/>
        <v>0</v>
      </c>
      <c r="O21" s="273">
        <f t="shared" si="6"/>
        <v>0</v>
      </c>
      <c r="P21" s="274">
        <f aca="true" t="shared" si="8" ref="P21:P26">K21/J21*100</f>
        <v>0</v>
      </c>
      <c r="Q21" s="274">
        <v>0</v>
      </c>
      <c r="R21" s="274">
        <v>0</v>
      </c>
      <c r="S21" s="274">
        <v>0</v>
      </c>
      <c r="T21" s="274">
        <v>0</v>
      </c>
    </row>
    <row r="22" spans="1:20" ht="26.25">
      <c r="A22" s="272" t="s">
        <v>36</v>
      </c>
      <c r="B22" s="107" t="s">
        <v>23</v>
      </c>
      <c r="C22" s="106">
        <v>12.8</v>
      </c>
      <c r="D22" s="106">
        <v>185</v>
      </c>
      <c r="E22" s="106">
        <v>193</v>
      </c>
      <c r="F22" s="106">
        <v>193</v>
      </c>
      <c r="G22" s="106">
        <v>193</v>
      </c>
      <c r="H22" s="106">
        <v>193</v>
      </c>
      <c r="I22" s="266">
        <v>8.46</v>
      </c>
      <c r="J22" s="273">
        <f t="shared" si="1"/>
        <v>108.28800000000001</v>
      </c>
      <c r="K22" s="273">
        <f t="shared" si="2"/>
        <v>1565.1000000000001</v>
      </c>
      <c r="L22" s="273">
        <f t="shared" si="3"/>
        <v>1632.7800000000002</v>
      </c>
      <c r="M22" s="273">
        <f t="shared" si="4"/>
        <v>1632.7800000000002</v>
      </c>
      <c r="N22" s="273">
        <f t="shared" si="5"/>
        <v>1632.7800000000002</v>
      </c>
      <c r="O22" s="273">
        <f t="shared" si="6"/>
        <v>1632.7800000000002</v>
      </c>
      <c r="P22" s="274">
        <f t="shared" si="8"/>
        <v>1445.3125</v>
      </c>
      <c r="Q22" s="274">
        <f>L22/K22*100</f>
        <v>104.32432432432432</v>
      </c>
      <c r="R22" s="274">
        <f aca="true" t="shared" si="9" ref="R22:T26">M22/L22*100</f>
        <v>100</v>
      </c>
      <c r="S22" s="274">
        <f t="shared" si="9"/>
        <v>100</v>
      </c>
      <c r="T22" s="274">
        <f t="shared" si="9"/>
        <v>100</v>
      </c>
    </row>
    <row r="23" spans="1:20" ht="26.25">
      <c r="A23" s="272" t="s">
        <v>37</v>
      </c>
      <c r="B23" s="107" t="s">
        <v>23</v>
      </c>
      <c r="C23" s="106">
        <v>7.4</v>
      </c>
      <c r="D23" s="106">
        <v>4</v>
      </c>
      <c r="E23" s="106">
        <v>3</v>
      </c>
      <c r="F23" s="106">
        <v>4</v>
      </c>
      <c r="G23" s="106">
        <v>4</v>
      </c>
      <c r="H23" s="106">
        <v>4</v>
      </c>
      <c r="I23" s="266">
        <v>17.82</v>
      </c>
      <c r="J23" s="273">
        <f t="shared" si="1"/>
        <v>131.868</v>
      </c>
      <c r="K23" s="273">
        <f t="shared" si="2"/>
        <v>71.28</v>
      </c>
      <c r="L23" s="273">
        <f t="shared" si="3"/>
        <v>53.46</v>
      </c>
      <c r="M23" s="273">
        <f t="shared" si="4"/>
        <v>71.28</v>
      </c>
      <c r="N23" s="273">
        <f t="shared" si="5"/>
        <v>71.28</v>
      </c>
      <c r="O23" s="273">
        <f t="shared" si="6"/>
        <v>71.28</v>
      </c>
      <c r="P23" s="274">
        <f t="shared" si="8"/>
        <v>54.054054054054056</v>
      </c>
      <c r="Q23" s="274">
        <f>L23/K23*100</f>
        <v>75</v>
      </c>
      <c r="R23" s="274">
        <f t="shared" si="9"/>
        <v>133.33333333333331</v>
      </c>
      <c r="S23" s="274">
        <f t="shared" si="9"/>
        <v>100</v>
      </c>
      <c r="T23" s="274">
        <f t="shared" si="9"/>
        <v>100</v>
      </c>
    </row>
    <row r="24" spans="1:20" ht="26.25">
      <c r="A24" s="272" t="s">
        <v>38</v>
      </c>
      <c r="B24" s="107" t="s">
        <v>23</v>
      </c>
      <c r="C24" s="106">
        <v>0</v>
      </c>
      <c r="D24" s="106">
        <v>11</v>
      </c>
      <c r="E24" s="106">
        <v>12</v>
      </c>
      <c r="F24" s="106">
        <v>12</v>
      </c>
      <c r="G24" s="106">
        <v>12</v>
      </c>
      <c r="H24" s="106">
        <v>12</v>
      </c>
      <c r="I24" s="266">
        <v>8.02</v>
      </c>
      <c r="J24" s="273">
        <f t="shared" si="1"/>
        <v>0</v>
      </c>
      <c r="K24" s="273">
        <f t="shared" si="2"/>
        <v>88.22</v>
      </c>
      <c r="L24" s="273">
        <f t="shared" si="3"/>
        <v>96.24</v>
      </c>
      <c r="M24" s="273">
        <f t="shared" si="4"/>
        <v>96.24</v>
      </c>
      <c r="N24" s="273">
        <f t="shared" si="5"/>
        <v>96.24</v>
      </c>
      <c r="O24" s="273">
        <f t="shared" si="6"/>
        <v>96.24</v>
      </c>
      <c r="P24" s="274">
        <v>0</v>
      </c>
      <c r="Q24" s="274">
        <f>L24/K24*100</f>
        <v>109.09090909090908</v>
      </c>
      <c r="R24" s="274">
        <f>M24/L24*100</f>
        <v>100</v>
      </c>
      <c r="S24" s="274">
        <f t="shared" si="9"/>
        <v>100</v>
      </c>
      <c r="T24" s="274">
        <f t="shared" si="9"/>
        <v>100</v>
      </c>
    </row>
    <row r="25" spans="1:20" ht="26.25">
      <c r="A25" s="272" t="s">
        <v>32</v>
      </c>
      <c r="B25" s="107" t="s">
        <v>23</v>
      </c>
      <c r="C25" s="106">
        <v>133.7</v>
      </c>
      <c r="D25" s="106">
        <v>198</v>
      </c>
      <c r="E25" s="106">
        <v>200</v>
      </c>
      <c r="F25" s="106">
        <v>200</v>
      </c>
      <c r="G25" s="106">
        <v>200</v>
      </c>
      <c r="H25" s="106">
        <v>200</v>
      </c>
      <c r="I25" s="266">
        <v>61.3</v>
      </c>
      <c r="J25" s="273">
        <f t="shared" si="1"/>
        <v>8195.81</v>
      </c>
      <c r="K25" s="273">
        <f t="shared" si="2"/>
        <v>12137.4</v>
      </c>
      <c r="L25" s="273">
        <f t="shared" si="3"/>
        <v>12260</v>
      </c>
      <c r="M25" s="273">
        <f t="shared" si="4"/>
        <v>12260</v>
      </c>
      <c r="N25" s="273">
        <f t="shared" si="5"/>
        <v>12260</v>
      </c>
      <c r="O25" s="273">
        <f t="shared" si="6"/>
        <v>12260</v>
      </c>
      <c r="P25" s="274">
        <f t="shared" si="8"/>
        <v>148.09274495138368</v>
      </c>
      <c r="Q25" s="274">
        <f>L25/K25*100</f>
        <v>101.01010101010101</v>
      </c>
      <c r="R25" s="274">
        <f t="shared" si="9"/>
        <v>100</v>
      </c>
      <c r="S25" s="274">
        <f t="shared" si="9"/>
        <v>100</v>
      </c>
      <c r="T25" s="274">
        <f t="shared" si="9"/>
        <v>100</v>
      </c>
    </row>
    <row r="26" spans="1:20" ht="26.25">
      <c r="A26" s="275" t="s">
        <v>114</v>
      </c>
      <c r="B26" s="107" t="s">
        <v>73</v>
      </c>
      <c r="C26" s="107" t="s">
        <v>73</v>
      </c>
      <c r="D26" s="107" t="s">
        <v>73</v>
      </c>
      <c r="E26" s="107" t="s">
        <v>73</v>
      </c>
      <c r="F26" s="107" t="s">
        <v>73</v>
      </c>
      <c r="G26" s="107" t="s">
        <v>73</v>
      </c>
      <c r="H26" s="107" t="s">
        <v>73</v>
      </c>
      <c r="I26" s="107" t="s">
        <v>73</v>
      </c>
      <c r="J26" s="273">
        <f aca="true" t="shared" si="10" ref="J26:O26">J17+J18+J19+J20+J21+J22+J23+J24+J25</f>
        <v>10053.802</v>
      </c>
      <c r="K26" s="273">
        <f t="shared" si="10"/>
        <v>15867.515</v>
      </c>
      <c r="L26" s="273">
        <f t="shared" si="10"/>
        <v>15763.58</v>
      </c>
      <c r="M26" s="273">
        <f t="shared" si="10"/>
        <v>15921.32</v>
      </c>
      <c r="N26" s="273">
        <f t="shared" si="10"/>
        <v>15921.32</v>
      </c>
      <c r="O26" s="273">
        <f t="shared" si="10"/>
        <v>15921.32</v>
      </c>
      <c r="P26" s="274">
        <f t="shared" si="8"/>
        <v>157.82601447691133</v>
      </c>
      <c r="Q26" s="274">
        <f>L26/K26*100</f>
        <v>99.34498250041042</v>
      </c>
      <c r="R26" s="274">
        <f t="shared" si="9"/>
        <v>101.00066101735774</v>
      </c>
      <c r="S26" s="274">
        <f t="shared" si="9"/>
        <v>100</v>
      </c>
      <c r="T26" s="274">
        <f t="shared" si="9"/>
        <v>100</v>
      </c>
    </row>
    <row r="27" spans="1:20" ht="164.25" customHeight="1" hidden="1">
      <c r="A27" s="276" t="s">
        <v>375</v>
      </c>
      <c r="B27" s="107"/>
      <c r="C27" s="106"/>
      <c r="D27" s="106"/>
      <c r="E27" s="106"/>
      <c r="F27" s="106"/>
      <c r="G27" s="106"/>
      <c r="H27" s="106"/>
      <c r="I27" s="266"/>
      <c r="J27" s="273"/>
      <c r="K27" s="273"/>
      <c r="L27" s="273"/>
      <c r="M27" s="273"/>
      <c r="N27" s="273"/>
      <c r="O27" s="273"/>
      <c r="P27" s="277"/>
      <c r="Q27" s="277"/>
      <c r="R27" s="277"/>
      <c r="S27" s="277"/>
      <c r="T27" s="277"/>
    </row>
    <row r="28" spans="1:20" ht="52.5" hidden="1">
      <c r="A28" s="272" t="s">
        <v>30</v>
      </c>
      <c r="B28" s="107" t="s">
        <v>23</v>
      </c>
      <c r="C28" s="107"/>
      <c r="D28" s="107"/>
      <c r="E28" s="107"/>
      <c r="F28" s="107"/>
      <c r="G28" s="107"/>
      <c r="H28" s="107"/>
      <c r="I28" s="266">
        <v>8.3</v>
      </c>
      <c r="J28" s="278">
        <f aca="true" t="shared" si="11" ref="J28:J34">I28*C28</f>
        <v>0</v>
      </c>
      <c r="K28" s="278">
        <f aca="true" t="shared" si="12" ref="K28:K34">I28*D28</f>
        <v>0</v>
      </c>
      <c r="L28" s="278">
        <f aca="true" t="shared" si="13" ref="L28:L34">I28*E28</f>
        <v>0</v>
      </c>
      <c r="M28" s="278">
        <f aca="true" t="shared" si="14" ref="M28:M34">I28*F28</f>
        <v>0</v>
      </c>
      <c r="N28" s="278">
        <f aca="true" t="shared" si="15" ref="N28:N34">I28*G28</f>
        <v>0</v>
      </c>
      <c r="O28" s="278">
        <f aca="true" t="shared" si="16" ref="O28:O34">I28*H28</f>
        <v>0</v>
      </c>
      <c r="P28" s="279" t="e">
        <f>K28/J28*100</f>
        <v>#DIV/0!</v>
      </c>
      <c r="Q28" s="279">
        <v>0</v>
      </c>
      <c r="R28" s="279">
        <v>0</v>
      </c>
      <c r="S28" s="279">
        <v>0</v>
      </c>
      <c r="T28" s="279">
        <v>0</v>
      </c>
    </row>
    <row r="29" spans="1:20" ht="52.5" hidden="1">
      <c r="A29" s="272" t="s">
        <v>31</v>
      </c>
      <c r="B29" s="107" t="s">
        <v>23</v>
      </c>
      <c r="C29" s="107"/>
      <c r="D29" s="107"/>
      <c r="E29" s="107"/>
      <c r="F29" s="107"/>
      <c r="G29" s="107"/>
      <c r="H29" s="107"/>
      <c r="I29" s="266">
        <v>4.28</v>
      </c>
      <c r="J29" s="278">
        <f t="shared" si="11"/>
        <v>0</v>
      </c>
      <c r="K29" s="278">
        <f t="shared" si="12"/>
        <v>0</v>
      </c>
      <c r="L29" s="278">
        <f t="shared" si="13"/>
        <v>0</v>
      </c>
      <c r="M29" s="278">
        <f t="shared" si="14"/>
        <v>0</v>
      </c>
      <c r="N29" s="278">
        <f t="shared" si="15"/>
        <v>0</v>
      </c>
      <c r="O29" s="278">
        <f t="shared" si="16"/>
        <v>0</v>
      </c>
      <c r="P29" s="279" t="e">
        <f>K29/J29*100</f>
        <v>#DIV/0!</v>
      </c>
      <c r="Q29" s="279">
        <v>0</v>
      </c>
      <c r="R29" s="279">
        <v>0</v>
      </c>
      <c r="S29" s="279">
        <v>0</v>
      </c>
      <c r="T29" s="279">
        <v>0</v>
      </c>
    </row>
    <row r="30" spans="1:20" ht="26.25" hidden="1">
      <c r="A30" s="272" t="s">
        <v>32</v>
      </c>
      <c r="B30" s="107" t="s">
        <v>23</v>
      </c>
      <c r="C30" s="106"/>
      <c r="D30" s="106"/>
      <c r="E30" s="106"/>
      <c r="F30" s="106"/>
      <c r="G30" s="106"/>
      <c r="H30" s="106"/>
      <c r="I30" s="266">
        <v>61.3</v>
      </c>
      <c r="J30" s="278">
        <f t="shared" si="11"/>
        <v>0</v>
      </c>
      <c r="K30" s="278">
        <f t="shared" si="12"/>
        <v>0</v>
      </c>
      <c r="L30" s="278">
        <f t="shared" si="13"/>
        <v>0</v>
      </c>
      <c r="M30" s="278">
        <f t="shared" si="14"/>
        <v>0</v>
      </c>
      <c r="N30" s="278">
        <f t="shared" si="15"/>
        <v>0</v>
      </c>
      <c r="O30" s="278">
        <f t="shared" si="16"/>
        <v>0</v>
      </c>
      <c r="P30" s="279" t="e">
        <f>K30/J30*100</f>
        <v>#DIV/0!</v>
      </c>
      <c r="Q30" s="279">
        <v>0</v>
      </c>
      <c r="R30" s="279">
        <v>0</v>
      </c>
      <c r="S30" s="279">
        <v>0</v>
      </c>
      <c r="T30" s="279">
        <v>0</v>
      </c>
    </row>
    <row r="31" spans="1:20" ht="26.25" hidden="1">
      <c r="A31" s="272" t="s">
        <v>33</v>
      </c>
      <c r="B31" s="107" t="s">
        <v>23</v>
      </c>
      <c r="C31" s="106"/>
      <c r="D31" s="106"/>
      <c r="E31" s="106"/>
      <c r="F31" s="106"/>
      <c r="G31" s="106"/>
      <c r="H31" s="106"/>
      <c r="I31" s="266">
        <v>55.44</v>
      </c>
      <c r="J31" s="278">
        <f t="shared" si="11"/>
        <v>0</v>
      </c>
      <c r="K31" s="278">
        <f t="shared" si="12"/>
        <v>0</v>
      </c>
      <c r="L31" s="278">
        <f t="shared" si="13"/>
        <v>0</v>
      </c>
      <c r="M31" s="278">
        <f t="shared" si="14"/>
        <v>0</v>
      </c>
      <c r="N31" s="278">
        <f t="shared" si="15"/>
        <v>0</v>
      </c>
      <c r="O31" s="278">
        <f t="shared" si="16"/>
        <v>0</v>
      </c>
      <c r="P31" s="279">
        <v>0</v>
      </c>
      <c r="Q31" s="279">
        <v>0</v>
      </c>
      <c r="R31" s="279">
        <v>0</v>
      </c>
      <c r="S31" s="279">
        <v>0</v>
      </c>
      <c r="T31" s="279">
        <v>0</v>
      </c>
    </row>
    <row r="32" spans="1:20" ht="26.25" hidden="1">
      <c r="A32" s="272" t="s">
        <v>39</v>
      </c>
      <c r="B32" s="107" t="s">
        <v>23</v>
      </c>
      <c r="C32" s="106"/>
      <c r="D32" s="106"/>
      <c r="E32" s="106"/>
      <c r="F32" s="106"/>
      <c r="G32" s="106"/>
      <c r="H32" s="106"/>
      <c r="I32" s="266">
        <v>30.72</v>
      </c>
      <c r="J32" s="278">
        <f t="shared" si="11"/>
        <v>0</v>
      </c>
      <c r="K32" s="278">
        <f t="shared" si="12"/>
        <v>0</v>
      </c>
      <c r="L32" s="278">
        <f t="shared" si="13"/>
        <v>0</v>
      </c>
      <c r="M32" s="278">
        <f t="shared" si="14"/>
        <v>0</v>
      </c>
      <c r="N32" s="278">
        <f t="shared" si="15"/>
        <v>0</v>
      </c>
      <c r="O32" s="278">
        <f t="shared" si="16"/>
        <v>0</v>
      </c>
      <c r="P32" s="279" t="e">
        <f>K32/J32*100</f>
        <v>#DIV/0!</v>
      </c>
      <c r="Q32" s="279">
        <v>0</v>
      </c>
      <c r="R32" s="279">
        <v>0</v>
      </c>
      <c r="S32" s="279">
        <v>0</v>
      </c>
      <c r="T32" s="279">
        <v>0</v>
      </c>
    </row>
    <row r="33" spans="1:20" ht="26.25" hidden="1">
      <c r="A33" s="272" t="s">
        <v>115</v>
      </c>
      <c r="B33" s="280" t="s">
        <v>40</v>
      </c>
      <c r="C33" s="106"/>
      <c r="D33" s="106"/>
      <c r="E33" s="106"/>
      <c r="F33" s="106"/>
      <c r="G33" s="106"/>
      <c r="H33" s="106"/>
      <c r="I33" s="266">
        <v>56.7</v>
      </c>
      <c r="J33" s="278">
        <f t="shared" si="11"/>
        <v>0</v>
      </c>
      <c r="K33" s="278">
        <f t="shared" si="12"/>
        <v>0</v>
      </c>
      <c r="L33" s="278">
        <f t="shared" si="13"/>
        <v>0</v>
      </c>
      <c r="M33" s="278">
        <f t="shared" si="14"/>
        <v>0</v>
      </c>
      <c r="N33" s="278">
        <f t="shared" si="15"/>
        <v>0</v>
      </c>
      <c r="O33" s="278">
        <f t="shared" si="16"/>
        <v>0</v>
      </c>
      <c r="P33" s="279">
        <v>0</v>
      </c>
      <c r="Q33" s="279">
        <v>0</v>
      </c>
      <c r="R33" s="279">
        <v>0</v>
      </c>
      <c r="S33" s="279">
        <v>0</v>
      </c>
      <c r="T33" s="279">
        <v>0</v>
      </c>
    </row>
    <row r="34" spans="1:20" ht="52.5" hidden="1">
      <c r="A34" s="272" t="s">
        <v>116</v>
      </c>
      <c r="B34" s="280" t="s">
        <v>117</v>
      </c>
      <c r="C34" s="107"/>
      <c r="D34" s="107"/>
      <c r="E34" s="107"/>
      <c r="F34" s="107"/>
      <c r="G34" s="107"/>
      <c r="H34" s="107"/>
      <c r="I34" s="266">
        <v>2</v>
      </c>
      <c r="J34" s="278">
        <f t="shared" si="11"/>
        <v>0</v>
      </c>
      <c r="K34" s="278">
        <f t="shared" si="12"/>
        <v>0</v>
      </c>
      <c r="L34" s="278">
        <f t="shared" si="13"/>
        <v>0</v>
      </c>
      <c r="M34" s="278">
        <f t="shared" si="14"/>
        <v>0</v>
      </c>
      <c r="N34" s="278">
        <f t="shared" si="15"/>
        <v>0</v>
      </c>
      <c r="O34" s="278">
        <f t="shared" si="16"/>
        <v>0</v>
      </c>
      <c r="P34" s="279">
        <v>0</v>
      </c>
      <c r="Q34" s="279">
        <v>0</v>
      </c>
      <c r="R34" s="279">
        <v>0</v>
      </c>
      <c r="S34" s="279">
        <v>0</v>
      </c>
      <c r="T34" s="279">
        <v>0</v>
      </c>
    </row>
    <row r="35" spans="1:20" ht="26.25" hidden="1">
      <c r="A35" s="275" t="s">
        <v>114</v>
      </c>
      <c r="B35" s="107" t="s">
        <v>73</v>
      </c>
      <c r="C35" s="107" t="s">
        <v>73</v>
      </c>
      <c r="D35" s="107" t="s">
        <v>73</v>
      </c>
      <c r="E35" s="107" t="s">
        <v>73</v>
      </c>
      <c r="F35" s="107" t="s">
        <v>73</v>
      </c>
      <c r="G35" s="107" t="s">
        <v>73</v>
      </c>
      <c r="H35" s="107" t="s">
        <v>73</v>
      </c>
      <c r="I35" s="107" t="s">
        <v>73</v>
      </c>
      <c r="J35" s="273">
        <f aca="true" t="shared" si="17" ref="J35:O35">J28+J29+J30+J31+J32+J33+J34</f>
        <v>0</v>
      </c>
      <c r="K35" s="273">
        <f t="shared" si="17"/>
        <v>0</v>
      </c>
      <c r="L35" s="273">
        <f t="shared" si="17"/>
        <v>0</v>
      </c>
      <c r="M35" s="273">
        <f t="shared" si="17"/>
        <v>0</v>
      </c>
      <c r="N35" s="273">
        <f t="shared" si="17"/>
        <v>0</v>
      </c>
      <c r="O35" s="273">
        <f t="shared" si="17"/>
        <v>0</v>
      </c>
      <c r="P35" s="274" t="e">
        <f>K35/J35*100</f>
        <v>#DIV/0!</v>
      </c>
      <c r="Q35" s="274" t="e">
        <f>L35/K35*100</f>
        <v>#DIV/0!</v>
      </c>
      <c r="R35" s="274">
        <v>0</v>
      </c>
      <c r="S35" s="274">
        <v>0</v>
      </c>
      <c r="T35" s="274">
        <v>0</v>
      </c>
    </row>
    <row r="36" spans="1:20" ht="26.25">
      <c r="A36" s="276" t="s">
        <v>113</v>
      </c>
      <c r="B36" s="280"/>
      <c r="C36" s="106"/>
      <c r="D36" s="106"/>
      <c r="E36" s="106"/>
      <c r="F36" s="106"/>
      <c r="G36" s="106"/>
      <c r="H36" s="106"/>
      <c r="I36" s="266"/>
      <c r="J36" s="273"/>
      <c r="K36" s="273"/>
      <c r="L36" s="273"/>
      <c r="M36" s="273"/>
      <c r="N36" s="273"/>
      <c r="O36" s="273"/>
      <c r="P36" s="274"/>
      <c r="Q36" s="274"/>
      <c r="R36" s="274"/>
      <c r="S36" s="274"/>
      <c r="T36" s="274"/>
    </row>
    <row r="37" spans="1:20" ht="26.25">
      <c r="A37" s="272" t="s">
        <v>28</v>
      </c>
      <c r="B37" s="107" t="s">
        <v>23</v>
      </c>
      <c r="C37" s="106">
        <v>473</v>
      </c>
      <c r="D37" s="106">
        <v>396</v>
      </c>
      <c r="E37" s="106">
        <v>461</v>
      </c>
      <c r="F37" s="106">
        <v>461</v>
      </c>
      <c r="G37" s="106">
        <v>461</v>
      </c>
      <c r="H37" s="106">
        <v>461</v>
      </c>
      <c r="I37" s="266">
        <v>67.05</v>
      </c>
      <c r="J37" s="278">
        <f>I37*C37</f>
        <v>31714.649999999998</v>
      </c>
      <c r="K37" s="278">
        <f>I37*D37</f>
        <v>26551.8</v>
      </c>
      <c r="L37" s="278">
        <f>I37*E37</f>
        <v>30910.05</v>
      </c>
      <c r="M37" s="278">
        <f>I37*F37</f>
        <v>30910.05</v>
      </c>
      <c r="N37" s="278">
        <f>I37*G37</f>
        <v>30910.05</v>
      </c>
      <c r="O37" s="278">
        <f>I37*H37</f>
        <v>30910.05</v>
      </c>
      <c r="P37" s="279">
        <f aca="true" t="shared" si="18" ref="P37:T39">K37/J37*100</f>
        <v>83.72093023255815</v>
      </c>
      <c r="Q37" s="279">
        <f t="shared" si="18"/>
        <v>116.41414141414141</v>
      </c>
      <c r="R37" s="279">
        <f t="shared" si="18"/>
        <v>100</v>
      </c>
      <c r="S37" s="279">
        <f t="shared" si="18"/>
        <v>100</v>
      </c>
      <c r="T37" s="279">
        <f t="shared" si="18"/>
        <v>100</v>
      </c>
    </row>
    <row r="38" spans="1:20" ht="26.25">
      <c r="A38" s="272" t="s">
        <v>29</v>
      </c>
      <c r="B38" s="107" t="s">
        <v>23</v>
      </c>
      <c r="C38" s="106">
        <v>12.6</v>
      </c>
      <c r="D38" s="106">
        <v>0</v>
      </c>
      <c r="E38" s="106">
        <v>0</v>
      </c>
      <c r="F38" s="106">
        <v>0</v>
      </c>
      <c r="G38" s="106">
        <v>0</v>
      </c>
      <c r="H38" s="106">
        <v>0</v>
      </c>
      <c r="I38" s="266">
        <v>42.4</v>
      </c>
      <c r="J38" s="278">
        <f>I38*C38</f>
        <v>534.24</v>
      </c>
      <c r="K38" s="278">
        <f>I38*D38</f>
        <v>0</v>
      </c>
      <c r="L38" s="278">
        <f>I38*E38</f>
        <v>0</v>
      </c>
      <c r="M38" s="278">
        <f>I38*F38</f>
        <v>0</v>
      </c>
      <c r="N38" s="278">
        <f>I38*G38</f>
        <v>0</v>
      </c>
      <c r="O38" s="278">
        <f>I38*H38</f>
        <v>0</v>
      </c>
      <c r="P38" s="279">
        <f t="shared" si="18"/>
        <v>0</v>
      </c>
      <c r="Q38" s="279">
        <v>0</v>
      </c>
      <c r="R38" s="279">
        <v>0</v>
      </c>
      <c r="S38" s="279">
        <v>0</v>
      </c>
      <c r="T38" s="279">
        <v>0</v>
      </c>
    </row>
    <row r="39" spans="1:20" ht="26.25">
      <c r="A39" s="275" t="s">
        <v>114</v>
      </c>
      <c r="B39" s="107" t="s">
        <v>73</v>
      </c>
      <c r="C39" s="107" t="s">
        <v>73</v>
      </c>
      <c r="D39" s="107" t="s">
        <v>73</v>
      </c>
      <c r="E39" s="107" t="s">
        <v>73</v>
      </c>
      <c r="F39" s="107" t="s">
        <v>73</v>
      </c>
      <c r="G39" s="107" t="s">
        <v>73</v>
      </c>
      <c r="H39" s="107" t="s">
        <v>73</v>
      </c>
      <c r="I39" s="107" t="s">
        <v>73</v>
      </c>
      <c r="J39" s="273">
        <f aca="true" t="shared" si="19" ref="J39:O39">J37+J38</f>
        <v>32248.89</v>
      </c>
      <c r="K39" s="273">
        <f t="shared" si="19"/>
        <v>26551.8</v>
      </c>
      <c r="L39" s="273">
        <f t="shared" si="19"/>
        <v>30910.05</v>
      </c>
      <c r="M39" s="273">
        <f t="shared" si="19"/>
        <v>30910.05</v>
      </c>
      <c r="N39" s="273">
        <f t="shared" si="19"/>
        <v>30910.05</v>
      </c>
      <c r="O39" s="273">
        <f t="shared" si="19"/>
        <v>30910.05</v>
      </c>
      <c r="P39" s="279">
        <f>K39/J39*100</f>
        <v>82.33399661197642</v>
      </c>
      <c r="Q39" s="279">
        <f t="shared" si="18"/>
        <v>116.41414141414141</v>
      </c>
      <c r="R39" s="279">
        <f t="shared" si="18"/>
        <v>100</v>
      </c>
      <c r="S39" s="279">
        <f t="shared" si="18"/>
        <v>100</v>
      </c>
      <c r="T39" s="279">
        <f t="shared" si="18"/>
        <v>100</v>
      </c>
    </row>
    <row r="40" spans="1:20" ht="26.25">
      <c r="A40" s="276" t="s">
        <v>261</v>
      </c>
      <c r="B40" s="107"/>
      <c r="C40" s="106"/>
      <c r="D40" s="106"/>
      <c r="E40" s="106"/>
      <c r="F40" s="106"/>
      <c r="G40" s="106"/>
      <c r="H40" s="106"/>
      <c r="I40" s="266"/>
      <c r="J40" s="273"/>
      <c r="K40" s="273"/>
      <c r="L40" s="273"/>
      <c r="M40" s="273"/>
      <c r="N40" s="273"/>
      <c r="O40" s="273"/>
      <c r="P40" s="274"/>
      <c r="Q40" s="274"/>
      <c r="R40" s="274"/>
      <c r="S40" s="274"/>
      <c r="T40" s="274"/>
    </row>
    <row r="41" spans="1:20" ht="26.25" hidden="1">
      <c r="A41" s="272" t="s">
        <v>36</v>
      </c>
      <c r="B41" s="107" t="s">
        <v>23</v>
      </c>
      <c r="C41" s="106"/>
      <c r="D41" s="106"/>
      <c r="E41" s="106"/>
      <c r="F41" s="106"/>
      <c r="G41" s="106"/>
      <c r="H41" s="106"/>
      <c r="I41" s="266">
        <v>8.46</v>
      </c>
      <c r="J41" s="278">
        <f>I41*C41</f>
        <v>0</v>
      </c>
      <c r="K41" s="278">
        <f>I41*D41</f>
        <v>0</v>
      </c>
      <c r="L41" s="278">
        <f>I41*E41</f>
        <v>0</v>
      </c>
      <c r="M41" s="278">
        <f>I41*F41</f>
        <v>0</v>
      </c>
      <c r="N41" s="278">
        <f>I41*G41</f>
        <v>0</v>
      </c>
      <c r="O41" s="278">
        <f>I41*H41</f>
        <v>0</v>
      </c>
      <c r="P41" s="279" t="e">
        <f>K41/J41*100</f>
        <v>#DIV/0!</v>
      </c>
      <c r="Q41" s="279">
        <v>0</v>
      </c>
      <c r="R41" s="279">
        <v>0</v>
      </c>
      <c r="S41" s="279">
        <v>0</v>
      </c>
      <c r="T41" s="279">
        <v>0</v>
      </c>
    </row>
    <row r="42" spans="1:20" ht="26.25" hidden="1">
      <c r="A42" s="272" t="s">
        <v>37</v>
      </c>
      <c r="B42" s="107" t="s">
        <v>23</v>
      </c>
      <c r="C42" s="106"/>
      <c r="D42" s="106"/>
      <c r="E42" s="106"/>
      <c r="F42" s="106"/>
      <c r="G42" s="106"/>
      <c r="H42" s="106"/>
      <c r="I42" s="266">
        <v>17.82</v>
      </c>
      <c r="J42" s="278">
        <f>I42*C42</f>
        <v>0</v>
      </c>
      <c r="K42" s="278">
        <f>I42*D42</f>
        <v>0</v>
      </c>
      <c r="L42" s="278">
        <f>I42*E42</f>
        <v>0</v>
      </c>
      <c r="M42" s="278">
        <f>I42*F42</f>
        <v>0</v>
      </c>
      <c r="N42" s="278">
        <f>I42*G42</f>
        <v>0</v>
      </c>
      <c r="O42" s="278">
        <f>I42*H42</f>
        <v>0</v>
      </c>
      <c r="P42" s="279" t="e">
        <f>K42/J42*100</f>
        <v>#DIV/0!</v>
      </c>
      <c r="Q42" s="279">
        <v>0</v>
      </c>
      <c r="R42" s="279">
        <v>0</v>
      </c>
      <c r="S42" s="279">
        <v>0</v>
      </c>
      <c r="T42" s="279">
        <v>0</v>
      </c>
    </row>
    <row r="43" spans="1:20" ht="26.25">
      <c r="A43" s="272" t="s">
        <v>29</v>
      </c>
      <c r="B43" s="107" t="s">
        <v>23</v>
      </c>
      <c r="C43" s="106">
        <v>140</v>
      </c>
      <c r="D43" s="106">
        <v>72</v>
      </c>
      <c r="E43" s="106">
        <v>80</v>
      </c>
      <c r="F43" s="106">
        <v>85</v>
      </c>
      <c r="G43" s="106">
        <v>90</v>
      </c>
      <c r="H43" s="106">
        <v>95</v>
      </c>
      <c r="I43" s="266">
        <v>42.4</v>
      </c>
      <c r="J43" s="278">
        <f>I43*C43</f>
        <v>5936</v>
      </c>
      <c r="K43" s="278">
        <f>I43*D43</f>
        <v>3052.7999999999997</v>
      </c>
      <c r="L43" s="278">
        <f>I43*E43</f>
        <v>3392</v>
      </c>
      <c r="M43" s="278">
        <f>I43*F43</f>
        <v>3604</v>
      </c>
      <c r="N43" s="278">
        <f>I43*G43</f>
        <v>3816</v>
      </c>
      <c r="O43" s="278">
        <f>I43*H43</f>
        <v>4028</v>
      </c>
      <c r="P43" s="279">
        <f>K43/J43*100</f>
        <v>51.42857142857142</v>
      </c>
      <c r="Q43" s="279">
        <f aca="true" t="shared" si="20" ref="Q43:T45">L43/K43*100</f>
        <v>111.11111111111111</v>
      </c>
      <c r="R43" s="279">
        <f t="shared" si="20"/>
        <v>106.25</v>
      </c>
      <c r="S43" s="279">
        <f t="shared" si="20"/>
        <v>105.88235294117648</v>
      </c>
      <c r="T43" s="279">
        <f t="shared" si="20"/>
        <v>105.55555555555556</v>
      </c>
    </row>
    <row r="44" spans="1:20" ht="26.25">
      <c r="A44" s="275" t="s">
        <v>114</v>
      </c>
      <c r="B44" s="107" t="s">
        <v>73</v>
      </c>
      <c r="C44" s="107" t="s">
        <v>73</v>
      </c>
      <c r="D44" s="107" t="s">
        <v>73</v>
      </c>
      <c r="E44" s="107" t="s">
        <v>73</v>
      </c>
      <c r="F44" s="107" t="s">
        <v>73</v>
      </c>
      <c r="G44" s="107" t="s">
        <v>73</v>
      </c>
      <c r="H44" s="107" t="s">
        <v>73</v>
      </c>
      <c r="I44" s="107" t="s">
        <v>73</v>
      </c>
      <c r="J44" s="273">
        <f aca="true" t="shared" si="21" ref="J44:O44">J43</f>
        <v>5936</v>
      </c>
      <c r="K44" s="273">
        <f t="shared" si="21"/>
        <v>3052.7999999999997</v>
      </c>
      <c r="L44" s="273">
        <f t="shared" si="21"/>
        <v>3392</v>
      </c>
      <c r="M44" s="273">
        <f t="shared" si="21"/>
        <v>3604</v>
      </c>
      <c r="N44" s="273">
        <f t="shared" si="21"/>
        <v>3816</v>
      </c>
      <c r="O44" s="273">
        <f t="shared" si="21"/>
        <v>4028</v>
      </c>
      <c r="P44" s="279">
        <f>K44/J44*100</f>
        <v>51.42857142857142</v>
      </c>
      <c r="Q44" s="279">
        <f t="shared" si="20"/>
        <v>111.11111111111111</v>
      </c>
      <c r="R44" s="279">
        <f t="shared" si="20"/>
        <v>106.25</v>
      </c>
      <c r="S44" s="279">
        <f t="shared" si="20"/>
        <v>105.88235294117648</v>
      </c>
      <c r="T44" s="279">
        <f t="shared" si="20"/>
        <v>105.55555555555556</v>
      </c>
    </row>
    <row r="45" spans="1:20" ht="26.25">
      <c r="A45" s="281" t="s">
        <v>118</v>
      </c>
      <c r="B45" s="196" t="s">
        <v>73</v>
      </c>
      <c r="C45" s="196" t="s">
        <v>73</v>
      </c>
      <c r="D45" s="196" t="s">
        <v>73</v>
      </c>
      <c r="E45" s="196" t="s">
        <v>73</v>
      </c>
      <c r="F45" s="196" t="s">
        <v>73</v>
      </c>
      <c r="G45" s="196" t="s">
        <v>73</v>
      </c>
      <c r="H45" s="196" t="s">
        <v>73</v>
      </c>
      <c r="I45" s="196" t="s">
        <v>73</v>
      </c>
      <c r="J45" s="282">
        <f aca="true" t="shared" si="22" ref="J45:O45">J26+J39+J44</f>
        <v>48238.691999999995</v>
      </c>
      <c r="K45" s="282">
        <f t="shared" si="22"/>
        <v>45472.115000000005</v>
      </c>
      <c r="L45" s="282">
        <f t="shared" si="22"/>
        <v>50065.63</v>
      </c>
      <c r="M45" s="282">
        <f t="shared" si="22"/>
        <v>50435.369999999995</v>
      </c>
      <c r="N45" s="282">
        <f t="shared" si="22"/>
        <v>50647.369999999995</v>
      </c>
      <c r="O45" s="282">
        <f t="shared" si="22"/>
        <v>50859.369999999995</v>
      </c>
      <c r="P45" s="279">
        <f>K45/J45*100</f>
        <v>94.2648175452187</v>
      </c>
      <c r="Q45" s="279">
        <f t="shared" si="20"/>
        <v>110.1018283402916</v>
      </c>
      <c r="R45" s="279">
        <f t="shared" si="20"/>
        <v>100.73851063094581</v>
      </c>
      <c r="S45" s="279">
        <f t="shared" si="20"/>
        <v>100.42033993207544</v>
      </c>
      <c r="T45" s="279">
        <f t="shared" si="20"/>
        <v>100.4185804712071</v>
      </c>
    </row>
    <row r="46" spans="1:20" ht="31.5" customHeight="1">
      <c r="A46" s="283" t="s">
        <v>87</v>
      </c>
      <c r="B46" s="284"/>
      <c r="C46" s="283"/>
      <c r="D46" s="283"/>
      <c r="E46" s="283"/>
      <c r="F46" s="283"/>
      <c r="G46" s="283"/>
      <c r="H46" s="283"/>
      <c r="I46" s="285"/>
      <c r="J46" s="273"/>
      <c r="K46" s="273"/>
      <c r="L46" s="273"/>
      <c r="M46" s="273"/>
      <c r="N46" s="273"/>
      <c r="O46" s="273"/>
      <c r="P46" s="277"/>
      <c r="Q46" s="277"/>
      <c r="R46" s="277"/>
      <c r="S46" s="277"/>
      <c r="T46" s="277"/>
    </row>
    <row r="47" spans="1:20" ht="27" customHeight="1">
      <c r="A47" s="30" t="s">
        <v>262</v>
      </c>
      <c r="B47" s="284"/>
      <c r="C47" s="283"/>
      <c r="D47" s="283"/>
      <c r="E47" s="283"/>
      <c r="F47" s="283"/>
      <c r="G47" s="283"/>
      <c r="H47" s="283"/>
      <c r="I47" s="285"/>
      <c r="J47" s="273"/>
      <c r="K47" s="273"/>
      <c r="L47" s="273"/>
      <c r="M47" s="273"/>
      <c r="N47" s="273"/>
      <c r="O47" s="273"/>
      <c r="P47" s="277"/>
      <c r="Q47" s="277"/>
      <c r="R47" s="277"/>
      <c r="S47" s="277"/>
      <c r="T47" s="277"/>
    </row>
    <row r="48" spans="1:20" ht="26.25">
      <c r="A48" s="272" t="s">
        <v>41</v>
      </c>
      <c r="B48" s="107" t="s">
        <v>42</v>
      </c>
      <c r="C48" s="106">
        <v>0.15</v>
      </c>
      <c r="D48" s="106">
        <v>0</v>
      </c>
      <c r="E48" s="106">
        <v>0</v>
      </c>
      <c r="F48" s="106">
        <v>0</v>
      </c>
      <c r="G48" s="106">
        <v>0</v>
      </c>
      <c r="H48" s="106">
        <v>0</v>
      </c>
      <c r="I48" s="266">
        <v>64.65</v>
      </c>
      <c r="J48" s="278">
        <f aca="true" t="shared" si="23" ref="J48:J55">I48*C48</f>
        <v>9.6975</v>
      </c>
      <c r="K48" s="278">
        <f aca="true" t="shared" si="24" ref="K48:K55">I48*D48</f>
        <v>0</v>
      </c>
      <c r="L48" s="278">
        <f aca="true" t="shared" si="25" ref="L48:L55">I48*E48</f>
        <v>0</v>
      </c>
      <c r="M48" s="278">
        <f aca="true" t="shared" si="26" ref="M48:M55">I48*F48</f>
        <v>0</v>
      </c>
      <c r="N48" s="278">
        <f aca="true" t="shared" si="27" ref="N48:N55">I48*G48</f>
        <v>0</v>
      </c>
      <c r="O48" s="278">
        <f aca="true" t="shared" si="28" ref="O48:O55">I48*H48</f>
        <v>0</v>
      </c>
      <c r="P48" s="279">
        <f>K48/J48*100</f>
        <v>0</v>
      </c>
      <c r="Q48" s="279">
        <v>0</v>
      </c>
      <c r="R48" s="279">
        <v>0</v>
      </c>
      <c r="S48" s="279">
        <v>0</v>
      </c>
      <c r="T48" s="279">
        <v>0</v>
      </c>
    </row>
    <row r="49" spans="1:20" ht="26.25">
      <c r="A49" s="272" t="s">
        <v>43</v>
      </c>
      <c r="B49" s="107" t="s">
        <v>42</v>
      </c>
      <c r="C49" s="106">
        <v>0</v>
      </c>
      <c r="D49" s="106">
        <v>0</v>
      </c>
      <c r="E49" s="106">
        <v>0</v>
      </c>
      <c r="F49" s="106">
        <v>0</v>
      </c>
      <c r="G49" s="106">
        <v>0</v>
      </c>
      <c r="H49" s="106">
        <v>0</v>
      </c>
      <c r="I49" s="266">
        <v>287.09</v>
      </c>
      <c r="J49" s="278">
        <f t="shared" si="23"/>
        <v>0</v>
      </c>
      <c r="K49" s="278">
        <f t="shared" si="24"/>
        <v>0</v>
      </c>
      <c r="L49" s="278">
        <f t="shared" si="25"/>
        <v>0</v>
      </c>
      <c r="M49" s="278">
        <f t="shared" si="26"/>
        <v>0</v>
      </c>
      <c r="N49" s="278">
        <f t="shared" si="27"/>
        <v>0</v>
      </c>
      <c r="O49" s="278">
        <f t="shared" si="28"/>
        <v>0</v>
      </c>
      <c r="P49" s="279">
        <v>0</v>
      </c>
      <c r="Q49" s="279">
        <v>0</v>
      </c>
      <c r="R49" s="279">
        <v>0</v>
      </c>
      <c r="S49" s="279">
        <v>0</v>
      </c>
      <c r="T49" s="279">
        <v>0</v>
      </c>
    </row>
    <row r="50" spans="1:20" ht="26.25">
      <c r="A50" s="272" t="s">
        <v>97</v>
      </c>
      <c r="B50" s="107" t="s">
        <v>42</v>
      </c>
      <c r="C50" s="106">
        <v>2.6</v>
      </c>
      <c r="D50" s="106">
        <v>4.8</v>
      </c>
      <c r="E50" s="106">
        <v>6.8</v>
      </c>
      <c r="F50" s="106">
        <v>9</v>
      </c>
      <c r="G50" s="106">
        <v>9</v>
      </c>
      <c r="H50" s="106">
        <v>9</v>
      </c>
      <c r="I50" s="266">
        <v>504.26</v>
      </c>
      <c r="J50" s="278">
        <f t="shared" si="23"/>
        <v>1311.076</v>
      </c>
      <c r="K50" s="278">
        <f t="shared" si="24"/>
        <v>2420.448</v>
      </c>
      <c r="L50" s="278">
        <f t="shared" si="25"/>
        <v>3428.968</v>
      </c>
      <c r="M50" s="278">
        <f t="shared" si="26"/>
        <v>4538.34</v>
      </c>
      <c r="N50" s="278">
        <f t="shared" si="27"/>
        <v>4538.34</v>
      </c>
      <c r="O50" s="278">
        <f t="shared" si="28"/>
        <v>4538.34</v>
      </c>
      <c r="P50" s="279">
        <f aca="true" t="shared" si="29" ref="P50:P56">K50/J50*100</f>
        <v>184.6153846153846</v>
      </c>
      <c r="Q50" s="279">
        <f>L50/K50*100</f>
        <v>141.66666666666669</v>
      </c>
      <c r="R50" s="279">
        <f aca="true" t="shared" si="30" ref="R50:T53">M50/L50*100</f>
        <v>132.3529411764706</v>
      </c>
      <c r="S50" s="279">
        <f t="shared" si="30"/>
        <v>100</v>
      </c>
      <c r="T50" s="279">
        <f t="shared" si="30"/>
        <v>100</v>
      </c>
    </row>
    <row r="51" spans="1:20" ht="26.25">
      <c r="A51" s="272" t="s">
        <v>98</v>
      </c>
      <c r="B51" s="107" t="s">
        <v>42</v>
      </c>
      <c r="C51" s="106">
        <v>20.9</v>
      </c>
      <c r="D51" s="106">
        <v>18.7</v>
      </c>
      <c r="E51" s="106">
        <v>8.8</v>
      </c>
      <c r="F51" s="106">
        <v>10</v>
      </c>
      <c r="G51" s="106">
        <v>10</v>
      </c>
      <c r="H51" s="106">
        <v>10</v>
      </c>
      <c r="I51" s="266">
        <v>272.1</v>
      </c>
      <c r="J51" s="278">
        <f t="shared" si="23"/>
        <v>5686.89</v>
      </c>
      <c r="K51" s="278">
        <f t="shared" si="24"/>
        <v>5088.27</v>
      </c>
      <c r="L51" s="278">
        <f t="shared" si="25"/>
        <v>2394.4800000000005</v>
      </c>
      <c r="M51" s="278">
        <f t="shared" si="26"/>
        <v>2721</v>
      </c>
      <c r="N51" s="278">
        <f t="shared" si="27"/>
        <v>2721</v>
      </c>
      <c r="O51" s="278">
        <f t="shared" si="28"/>
        <v>2721</v>
      </c>
      <c r="P51" s="279">
        <f t="shared" si="29"/>
        <v>89.47368421052632</v>
      </c>
      <c r="Q51" s="279">
        <f>L51/K51*100</f>
        <v>47.05882352941177</v>
      </c>
      <c r="R51" s="279">
        <f t="shared" si="30"/>
        <v>113.63636363636363</v>
      </c>
      <c r="S51" s="279">
        <f t="shared" si="30"/>
        <v>100</v>
      </c>
      <c r="T51" s="279">
        <f t="shared" si="30"/>
        <v>100</v>
      </c>
    </row>
    <row r="52" spans="1:20" ht="26.25">
      <c r="A52" s="272" t="s">
        <v>44</v>
      </c>
      <c r="B52" s="107" t="s">
        <v>42</v>
      </c>
      <c r="C52" s="106">
        <v>4.4</v>
      </c>
      <c r="D52" s="106">
        <v>4.2</v>
      </c>
      <c r="E52" s="106">
        <v>2.5</v>
      </c>
      <c r="F52" s="106">
        <v>4</v>
      </c>
      <c r="G52" s="106">
        <v>4</v>
      </c>
      <c r="H52" s="106">
        <v>4</v>
      </c>
      <c r="I52" s="266">
        <v>297.2</v>
      </c>
      <c r="J52" s="278">
        <f t="shared" si="23"/>
        <v>1307.68</v>
      </c>
      <c r="K52" s="278">
        <f t="shared" si="24"/>
        <v>1248.24</v>
      </c>
      <c r="L52" s="278">
        <f t="shared" si="25"/>
        <v>743</v>
      </c>
      <c r="M52" s="278">
        <f t="shared" si="26"/>
        <v>1188.8</v>
      </c>
      <c r="N52" s="278">
        <f t="shared" si="27"/>
        <v>1188.8</v>
      </c>
      <c r="O52" s="278">
        <f t="shared" si="28"/>
        <v>1188.8</v>
      </c>
      <c r="P52" s="279">
        <f t="shared" si="29"/>
        <v>95.45454545454545</v>
      </c>
      <c r="Q52" s="279">
        <f>L52/K52*100</f>
        <v>59.523809523809526</v>
      </c>
      <c r="R52" s="279">
        <f t="shared" si="30"/>
        <v>160</v>
      </c>
      <c r="S52" s="279">
        <f t="shared" si="30"/>
        <v>100</v>
      </c>
      <c r="T52" s="279">
        <f t="shared" si="30"/>
        <v>100</v>
      </c>
    </row>
    <row r="53" spans="1:20" ht="26.25">
      <c r="A53" s="272" t="s">
        <v>45</v>
      </c>
      <c r="B53" s="107" t="s">
        <v>42</v>
      </c>
      <c r="C53" s="106">
        <v>2</v>
      </c>
      <c r="D53" s="106">
        <v>0.8</v>
      </c>
      <c r="E53" s="106">
        <v>2.5</v>
      </c>
      <c r="F53" s="106">
        <v>5</v>
      </c>
      <c r="G53" s="106">
        <v>5</v>
      </c>
      <c r="H53" s="106">
        <v>5</v>
      </c>
      <c r="I53" s="266">
        <v>289.6</v>
      </c>
      <c r="J53" s="278">
        <f t="shared" si="23"/>
        <v>579.2</v>
      </c>
      <c r="K53" s="278">
        <f t="shared" si="24"/>
        <v>231.68000000000004</v>
      </c>
      <c r="L53" s="278">
        <f t="shared" si="25"/>
        <v>724</v>
      </c>
      <c r="M53" s="278">
        <f t="shared" si="26"/>
        <v>1448</v>
      </c>
      <c r="N53" s="278">
        <f t="shared" si="27"/>
        <v>1448</v>
      </c>
      <c r="O53" s="278">
        <f t="shared" si="28"/>
        <v>1448</v>
      </c>
      <c r="P53" s="279">
        <f t="shared" si="29"/>
        <v>40</v>
      </c>
      <c r="Q53" s="279">
        <f>L53/K53*100</f>
        <v>312.49999999999994</v>
      </c>
      <c r="R53" s="279">
        <f t="shared" si="30"/>
        <v>200</v>
      </c>
      <c r="S53" s="279">
        <f t="shared" si="30"/>
        <v>100</v>
      </c>
      <c r="T53" s="279">
        <f t="shared" si="30"/>
        <v>100</v>
      </c>
    </row>
    <row r="54" spans="1:20" ht="26.25">
      <c r="A54" s="272" t="s">
        <v>46</v>
      </c>
      <c r="B54" s="107" t="s">
        <v>47</v>
      </c>
      <c r="C54" s="106">
        <v>0</v>
      </c>
      <c r="D54" s="106">
        <v>0</v>
      </c>
      <c r="E54" s="106">
        <v>0</v>
      </c>
      <c r="F54" s="106">
        <v>0</v>
      </c>
      <c r="G54" s="106">
        <v>0</v>
      </c>
      <c r="H54" s="106">
        <v>0</v>
      </c>
      <c r="I54" s="266">
        <v>13.6</v>
      </c>
      <c r="J54" s="278">
        <f t="shared" si="23"/>
        <v>0</v>
      </c>
      <c r="K54" s="278">
        <f t="shared" si="24"/>
        <v>0</v>
      </c>
      <c r="L54" s="278">
        <f t="shared" si="25"/>
        <v>0</v>
      </c>
      <c r="M54" s="278">
        <f t="shared" si="26"/>
        <v>0</v>
      </c>
      <c r="N54" s="278">
        <f t="shared" si="27"/>
        <v>0</v>
      </c>
      <c r="O54" s="278">
        <f t="shared" si="28"/>
        <v>0</v>
      </c>
      <c r="P54" s="279">
        <v>0</v>
      </c>
      <c r="Q54" s="279">
        <v>0</v>
      </c>
      <c r="R54" s="279">
        <v>0</v>
      </c>
      <c r="S54" s="279">
        <v>0</v>
      </c>
      <c r="T54" s="279">
        <v>0</v>
      </c>
    </row>
    <row r="55" spans="1:20" ht="52.5">
      <c r="A55" s="272" t="s">
        <v>48</v>
      </c>
      <c r="B55" s="107" t="s">
        <v>42</v>
      </c>
      <c r="C55" s="107">
        <v>0.04</v>
      </c>
      <c r="D55" s="107">
        <v>0.06</v>
      </c>
      <c r="E55" s="107">
        <v>0.5</v>
      </c>
      <c r="F55" s="107">
        <v>0.5</v>
      </c>
      <c r="G55" s="107">
        <v>0.5</v>
      </c>
      <c r="H55" s="107">
        <v>0.5</v>
      </c>
      <c r="I55" s="266">
        <v>73.9</v>
      </c>
      <c r="J55" s="278">
        <f t="shared" si="23"/>
        <v>2.9560000000000004</v>
      </c>
      <c r="K55" s="278">
        <f t="shared" si="24"/>
        <v>4.434</v>
      </c>
      <c r="L55" s="278">
        <f t="shared" si="25"/>
        <v>36.95</v>
      </c>
      <c r="M55" s="278">
        <f t="shared" si="26"/>
        <v>36.95</v>
      </c>
      <c r="N55" s="278">
        <f t="shared" si="27"/>
        <v>36.95</v>
      </c>
      <c r="O55" s="278">
        <f t="shared" si="28"/>
        <v>36.95</v>
      </c>
      <c r="P55" s="279">
        <f t="shared" si="29"/>
        <v>149.99999999999997</v>
      </c>
      <c r="Q55" s="279">
        <f aca="true" t="shared" si="31" ref="Q55:T56">L55/K55*100</f>
        <v>833.3333333333334</v>
      </c>
      <c r="R55" s="279">
        <f t="shared" si="31"/>
        <v>100</v>
      </c>
      <c r="S55" s="279">
        <f t="shared" si="31"/>
        <v>100</v>
      </c>
      <c r="T55" s="279">
        <f t="shared" si="31"/>
        <v>100</v>
      </c>
    </row>
    <row r="56" spans="1:20" ht="26.25">
      <c r="A56" s="281" t="s">
        <v>119</v>
      </c>
      <c r="B56" s="196" t="s">
        <v>73</v>
      </c>
      <c r="C56" s="196" t="s">
        <v>73</v>
      </c>
      <c r="D56" s="196" t="s">
        <v>73</v>
      </c>
      <c r="E56" s="196" t="s">
        <v>73</v>
      </c>
      <c r="F56" s="196" t="s">
        <v>73</v>
      </c>
      <c r="G56" s="196" t="s">
        <v>73</v>
      </c>
      <c r="H56" s="196" t="s">
        <v>73</v>
      </c>
      <c r="I56" s="196" t="s">
        <v>73</v>
      </c>
      <c r="J56" s="282">
        <f aca="true" t="shared" si="32" ref="J56:O56">J48+J49+J50+J51+J52+J53+J54+J55</f>
        <v>8897.499500000002</v>
      </c>
      <c r="K56" s="282">
        <f t="shared" si="32"/>
        <v>8993.072</v>
      </c>
      <c r="L56" s="282">
        <f t="shared" si="32"/>
        <v>7327.398</v>
      </c>
      <c r="M56" s="282">
        <f t="shared" si="32"/>
        <v>9933.09</v>
      </c>
      <c r="N56" s="282">
        <f t="shared" si="32"/>
        <v>9933.09</v>
      </c>
      <c r="O56" s="282">
        <f t="shared" si="32"/>
        <v>9933.09</v>
      </c>
      <c r="P56" s="279">
        <f t="shared" si="29"/>
        <v>101.07415010250911</v>
      </c>
      <c r="Q56" s="279">
        <f t="shared" si="31"/>
        <v>81.47825348223611</v>
      </c>
      <c r="R56" s="279">
        <f t="shared" si="31"/>
        <v>135.5609453724228</v>
      </c>
      <c r="S56" s="279">
        <f t="shared" si="31"/>
        <v>100</v>
      </c>
      <c r="T56" s="279">
        <f t="shared" si="31"/>
        <v>100</v>
      </c>
    </row>
    <row r="57" spans="1:20" ht="55.5" customHeight="1">
      <c r="A57" s="283" t="s">
        <v>88</v>
      </c>
      <c r="B57" s="107"/>
      <c r="C57" s="106"/>
      <c r="D57" s="106"/>
      <c r="E57" s="106"/>
      <c r="F57" s="106"/>
      <c r="G57" s="106"/>
      <c r="H57" s="106"/>
      <c r="I57" s="266"/>
      <c r="J57" s="273"/>
      <c r="K57" s="273"/>
      <c r="L57" s="273"/>
      <c r="M57" s="273"/>
      <c r="N57" s="273"/>
      <c r="O57" s="273"/>
      <c r="P57" s="277"/>
      <c r="Q57" s="277"/>
      <c r="R57" s="277"/>
      <c r="S57" s="277"/>
      <c r="T57" s="277"/>
    </row>
    <row r="58" spans="1:20" ht="27" customHeight="1">
      <c r="A58" s="286" t="s">
        <v>376</v>
      </c>
      <c r="B58" s="107"/>
      <c r="C58" s="106"/>
      <c r="D58" s="106"/>
      <c r="E58" s="106"/>
      <c r="F58" s="106"/>
      <c r="G58" s="106"/>
      <c r="H58" s="106"/>
      <c r="I58" s="266"/>
      <c r="J58" s="273"/>
      <c r="K58" s="273"/>
      <c r="L58" s="273"/>
      <c r="M58" s="273"/>
      <c r="N58" s="273"/>
      <c r="O58" s="273"/>
      <c r="P58" s="277"/>
      <c r="Q58" s="277"/>
      <c r="R58" s="277"/>
      <c r="S58" s="277"/>
      <c r="T58" s="277"/>
    </row>
    <row r="59" spans="1:20" ht="52.5">
      <c r="A59" s="272" t="s">
        <v>49</v>
      </c>
      <c r="B59" s="107" t="s">
        <v>22</v>
      </c>
      <c r="C59" s="107">
        <v>1.4</v>
      </c>
      <c r="D59" s="107">
        <v>1.3</v>
      </c>
      <c r="E59" s="107">
        <v>1.3</v>
      </c>
      <c r="F59" s="107">
        <v>2.8</v>
      </c>
      <c r="G59" s="107">
        <v>2.8</v>
      </c>
      <c r="H59" s="107">
        <v>2.8</v>
      </c>
      <c r="I59" s="266">
        <v>2716.41</v>
      </c>
      <c r="J59" s="278">
        <f>I59*C59</f>
        <v>3802.9739999999997</v>
      </c>
      <c r="K59" s="278">
        <f>I59*D59</f>
        <v>3531.333</v>
      </c>
      <c r="L59" s="278">
        <f>I59*E59</f>
        <v>3531.333</v>
      </c>
      <c r="M59" s="278">
        <f>I59*F59</f>
        <v>7605.947999999999</v>
      </c>
      <c r="N59" s="278">
        <f>I59*G59</f>
        <v>7605.947999999999</v>
      </c>
      <c r="O59" s="278">
        <f>I59*H59</f>
        <v>7605.947999999999</v>
      </c>
      <c r="P59" s="279">
        <f>K59/J59*100</f>
        <v>92.85714285714288</v>
      </c>
      <c r="Q59" s="279">
        <f>L59/K59*100</f>
        <v>100</v>
      </c>
      <c r="R59" s="279">
        <f>M59/L59*100</f>
        <v>215.3846153846154</v>
      </c>
      <c r="S59" s="279">
        <f>N59/M59*100</f>
        <v>100</v>
      </c>
      <c r="T59" s="279">
        <f>O59/N59*100</f>
        <v>100</v>
      </c>
    </row>
    <row r="60" spans="1:20" ht="26.25">
      <c r="A60" s="272" t="s">
        <v>53</v>
      </c>
      <c r="B60" s="280" t="s">
        <v>52</v>
      </c>
      <c r="C60" s="106">
        <v>0</v>
      </c>
      <c r="D60" s="106">
        <v>0</v>
      </c>
      <c r="E60" s="106">
        <v>0</v>
      </c>
      <c r="F60" s="106">
        <v>0</v>
      </c>
      <c r="G60" s="106">
        <v>0</v>
      </c>
      <c r="H60" s="106">
        <v>0</v>
      </c>
      <c r="I60" s="266">
        <v>1021.36</v>
      </c>
      <c r="J60" s="287">
        <f>I60*C60</f>
        <v>0</v>
      </c>
      <c r="K60" s="287">
        <f>I60*D60</f>
        <v>0</v>
      </c>
      <c r="L60" s="287">
        <f>I60*E60</f>
        <v>0</v>
      </c>
      <c r="M60" s="287">
        <f>I60*F60</f>
        <v>0</v>
      </c>
      <c r="N60" s="287">
        <f>I60*G60</f>
        <v>0</v>
      </c>
      <c r="O60" s="287">
        <f>I60*H60</f>
        <v>0</v>
      </c>
      <c r="P60" s="279">
        <v>0</v>
      </c>
      <c r="Q60" s="279">
        <v>0</v>
      </c>
      <c r="R60" s="279">
        <v>0</v>
      </c>
      <c r="S60" s="279">
        <v>0</v>
      </c>
      <c r="T60" s="279">
        <v>0</v>
      </c>
    </row>
    <row r="61" spans="1:20" ht="26.25">
      <c r="A61" s="272" t="s">
        <v>54</v>
      </c>
      <c r="B61" s="280" t="s">
        <v>52</v>
      </c>
      <c r="C61" s="106">
        <v>0</v>
      </c>
      <c r="D61" s="106">
        <v>0</v>
      </c>
      <c r="E61" s="106">
        <v>0</v>
      </c>
      <c r="F61" s="106">
        <v>0</v>
      </c>
      <c r="G61" s="106">
        <v>0</v>
      </c>
      <c r="H61" s="106">
        <v>0</v>
      </c>
      <c r="I61" s="266">
        <v>1960.71</v>
      </c>
      <c r="J61" s="287">
        <f>I61*C61</f>
        <v>0</v>
      </c>
      <c r="K61" s="287">
        <f>I61*D61</f>
        <v>0</v>
      </c>
      <c r="L61" s="287">
        <f>I61*E61</f>
        <v>0</v>
      </c>
      <c r="M61" s="287">
        <f>I61*F61</f>
        <v>0</v>
      </c>
      <c r="N61" s="287">
        <f>I61*G61</f>
        <v>0</v>
      </c>
      <c r="O61" s="287">
        <f>I61*H61</f>
        <v>0</v>
      </c>
      <c r="P61" s="279">
        <v>0</v>
      </c>
      <c r="Q61" s="279">
        <v>0</v>
      </c>
      <c r="R61" s="279">
        <v>0</v>
      </c>
      <c r="S61" s="279">
        <v>0</v>
      </c>
      <c r="T61" s="279">
        <v>0</v>
      </c>
    </row>
    <row r="62" spans="1:20" ht="26.25">
      <c r="A62" s="275" t="s">
        <v>114</v>
      </c>
      <c r="B62" s="107" t="s">
        <v>73</v>
      </c>
      <c r="C62" s="107" t="s">
        <v>73</v>
      </c>
      <c r="D62" s="107" t="s">
        <v>73</v>
      </c>
      <c r="E62" s="107" t="s">
        <v>73</v>
      </c>
      <c r="F62" s="107" t="s">
        <v>73</v>
      </c>
      <c r="G62" s="107" t="s">
        <v>73</v>
      </c>
      <c r="H62" s="107" t="s">
        <v>73</v>
      </c>
      <c r="I62" s="107" t="s">
        <v>73</v>
      </c>
      <c r="J62" s="288">
        <f aca="true" t="shared" si="33" ref="J62:O62">J59+J60+J61</f>
        <v>3802.9739999999997</v>
      </c>
      <c r="K62" s="288">
        <f t="shared" si="33"/>
        <v>3531.333</v>
      </c>
      <c r="L62" s="288">
        <f t="shared" si="33"/>
        <v>3531.333</v>
      </c>
      <c r="M62" s="288">
        <f t="shared" si="33"/>
        <v>7605.947999999999</v>
      </c>
      <c r="N62" s="288">
        <f t="shared" si="33"/>
        <v>7605.947999999999</v>
      </c>
      <c r="O62" s="288">
        <f t="shared" si="33"/>
        <v>7605.947999999999</v>
      </c>
      <c r="P62" s="279">
        <f>K62/J62*100</f>
        <v>92.85714285714288</v>
      </c>
      <c r="Q62" s="279">
        <f>L62/K62*100</f>
        <v>100</v>
      </c>
      <c r="R62" s="279">
        <f>M62/L62*100</f>
        <v>215.3846153846154</v>
      </c>
      <c r="S62" s="279">
        <f>N62/M62*100</f>
        <v>100</v>
      </c>
      <c r="T62" s="279">
        <f>O62/N62*100</f>
        <v>100</v>
      </c>
    </row>
    <row r="63" spans="1:20" ht="26.25">
      <c r="A63" s="289" t="s">
        <v>125</v>
      </c>
      <c r="B63" s="280"/>
      <c r="C63" s="106"/>
      <c r="D63" s="106"/>
      <c r="E63" s="106"/>
      <c r="F63" s="106"/>
      <c r="G63" s="106"/>
      <c r="H63" s="106"/>
      <c r="I63" s="266"/>
      <c r="J63" s="273"/>
      <c r="K63" s="273"/>
      <c r="L63" s="273"/>
      <c r="M63" s="273"/>
      <c r="N63" s="273"/>
      <c r="O63" s="273"/>
      <c r="P63" s="274"/>
      <c r="Q63" s="274"/>
      <c r="R63" s="274"/>
      <c r="S63" s="274"/>
      <c r="T63" s="274"/>
    </row>
    <row r="64" spans="1:20" ht="52.5">
      <c r="A64" s="272" t="s">
        <v>49</v>
      </c>
      <c r="B64" s="107" t="s">
        <v>22</v>
      </c>
      <c r="C64" s="107">
        <v>0.9</v>
      </c>
      <c r="D64" s="107">
        <v>0</v>
      </c>
      <c r="E64" s="107">
        <v>0.15</v>
      </c>
      <c r="F64" s="107">
        <v>0.3</v>
      </c>
      <c r="G64" s="107">
        <v>0.4</v>
      </c>
      <c r="H64" s="107">
        <v>0.4</v>
      </c>
      <c r="I64" s="266">
        <v>2716.41</v>
      </c>
      <c r="J64" s="287">
        <f>I64*C64</f>
        <v>2444.769</v>
      </c>
      <c r="K64" s="287">
        <f>I64*D64</f>
        <v>0</v>
      </c>
      <c r="L64" s="287">
        <f>I64*E64</f>
        <v>407.46149999999994</v>
      </c>
      <c r="M64" s="287">
        <f>I64*F64</f>
        <v>814.9229999999999</v>
      </c>
      <c r="N64" s="287">
        <f>I64*G64</f>
        <v>1086.564</v>
      </c>
      <c r="O64" s="287">
        <f>I64*H64</f>
        <v>1086.564</v>
      </c>
      <c r="P64" s="279">
        <f aca="true" t="shared" si="34" ref="P64:T66">K64/J64*100</f>
        <v>0</v>
      </c>
      <c r="Q64" s="279">
        <v>0</v>
      </c>
      <c r="R64" s="279">
        <f t="shared" si="34"/>
        <v>200</v>
      </c>
      <c r="S64" s="279">
        <f t="shared" si="34"/>
        <v>133.33333333333337</v>
      </c>
      <c r="T64" s="279">
        <f t="shared" si="34"/>
        <v>100</v>
      </c>
    </row>
    <row r="65" spans="1:20" ht="26.25">
      <c r="A65" s="275" t="s">
        <v>114</v>
      </c>
      <c r="B65" s="107" t="s">
        <v>73</v>
      </c>
      <c r="C65" s="107" t="s">
        <v>73</v>
      </c>
      <c r="D65" s="107" t="s">
        <v>73</v>
      </c>
      <c r="E65" s="107" t="s">
        <v>73</v>
      </c>
      <c r="F65" s="107" t="s">
        <v>73</v>
      </c>
      <c r="G65" s="107" t="s">
        <v>73</v>
      </c>
      <c r="H65" s="107" t="s">
        <v>73</v>
      </c>
      <c r="I65" s="107" t="s">
        <v>73</v>
      </c>
      <c r="J65" s="287">
        <f aca="true" t="shared" si="35" ref="J65:O65">J64</f>
        <v>2444.769</v>
      </c>
      <c r="K65" s="287">
        <f t="shared" si="35"/>
        <v>0</v>
      </c>
      <c r="L65" s="287">
        <f t="shared" si="35"/>
        <v>407.46149999999994</v>
      </c>
      <c r="M65" s="287">
        <f t="shared" si="35"/>
        <v>814.9229999999999</v>
      </c>
      <c r="N65" s="287">
        <f t="shared" si="35"/>
        <v>1086.564</v>
      </c>
      <c r="O65" s="287">
        <f t="shared" si="35"/>
        <v>1086.564</v>
      </c>
      <c r="P65" s="279">
        <f t="shared" si="34"/>
        <v>0</v>
      </c>
      <c r="Q65" s="279">
        <v>0</v>
      </c>
      <c r="R65" s="279">
        <f t="shared" si="34"/>
        <v>200</v>
      </c>
      <c r="S65" s="279">
        <f t="shared" si="34"/>
        <v>133.33333333333337</v>
      </c>
      <c r="T65" s="279">
        <f t="shared" si="34"/>
        <v>100</v>
      </c>
    </row>
    <row r="66" spans="1:20" ht="26.25">
      <c r="A66" s="281" t="s">
        <v>120</v>
      </c>
      <c r="B66" s="196" t="s">
        <v>73</v>
      </c>
      <c r="C66" s="196" t="s">
        <v>73</v>
      </c>
      <c r="D66" s="196" t="s">
        <v>73</v>
      </c>
      <c r="E66" s="196" t="s">
        <v>73</v>
      </c>
      <c r="F66" s="196" t="s">
        <v>73</v>
      </c>
      <c r="G66" s="196" t="s">
        <v>73</v>
      </c>
      <c r="H66" s="196" t="s">
        <v>73</v>
      </c>
      <c r="I66" s="196" t="s">
        <v>73</v>
      </c>
      <c r="J66" s="290">
        <f aca="true" t="shared" si="36" ref="J66:O66">J62+J65</f>
        <v>6247.7429999999995</v>
      </c>
      <c r="K66" s="290">
        <f t="shared" si="36"/>
        <v>3531.333</v>
      </c>
      <c r="L66" s="290">
        <f t="shared" si="36"/>
        <v>3938.7945</v>
      </c>
      <c r="M66" s="290">
        <f t="shared" si="36"/>
        <v>8420.871</v>
      </c>
      <c r="N66" s="290">
        <f t="shared" si="36"/>
        <v>8692.511999999999</v>
      </c>
      <c r="O66" s="290">
        <f t="shared" si="36"/>
        <v>8692.511999999999</v>
      </c>
      <c r="P66" s="279">
        <f t="shared" si="34"/>
        <v>56.52173913043479</v>
      </c>
      <c r="Q66" s="279">
        <f>L66/K66*100</f>
        <v>111.53846153846155</v>
      </c>
      <c r="R66" s="279">
        <f t="shared" si="34"/>
        <v>213.79310344827584</v>
      </c>
      <c r="S66" s="279">
        <f t="shared" si="34"/>
        <v>103.2258064516129</v>
      </c>
      <c r="T66" s="279">
        <f t="shared" si="34"/>
        <v>100</v>
      </c>
    </row>
    <row r="67" spans="1:20" ht="36" customHeight="1">
      <c r="A67" s="283" t="s">
        <v>89</v>
      </c>
      <c r="B67" s="107"/>
      <c r="C67" s="106"/>
      <c r="D67" s="106"/>
      <c r="E67" s="106"/>
      <c r="F67" s="106"/>
      <c r="G67" s="106"/>
      <c r="H67" s="106"/>
      <c r="I67" s="266"/>
      <c r="J67" s="273"/>
      <c r="K67" s="273"/>
      <c r="L67" s="273"/>
      <c r="M67" s="273"/>
      <c r="N67" s="273"/>
      <c r="O67" s="273"/>
      <c r="P67" s="277"/>
      <c r="Q67" s="277"/>
      <c r="R67" s="277"/>
      <c r="S67" s="277"/>
      <c r="T67" s="277"/>
    </row>
    <row r="68" spans="1:20" ht="27" customHeight="1">
      <c r="A68" s="289" t="s">
        <v>123</v>
      </c>
      <c r="B68" s="107"/>
      <c r="C68" s="106"/>
      <c r="D68" s="106"/>
      <c r="E68" s="106"/>
      <c r="F68" s="106"/>
      <c r="G68" s="106"/>
      <c r="H68" s="106"/>
      <c r="I68" s="266"/>
      <c r="J68" s="273"/>
      <c r="K68" s="273"/>
      <c r="L68" s="273"/>
      <c r="M68" s="273"/>
      <c r="N68" s="273"/>
      <c r="O68" s="273"/>
      <c r="P68" s="277"/>
      <c r="Q68" s="277"/>
      <c r="R68" s="277"/>
      <c r="S68" s="277"/>
      <c r="T68" s="277"/>
    </row>
    <row r="69" spans="1:20" ht="31.5" customHeight="1">
      <c r="A69" s="291" t="s">
        <v>55</v>
      </c>
      <c r="B69" s="107" t="s">
        <v>59</v>
      </c>
      <c r="C69" s="106">
        <v>189</v>
      </c>
      <c r="D69" s="106">
        <v>193.7</v>
      </c>
      <c r="E69" s="106">
        <v>205.4</v>
      </c>
      <c r="F69" s="106">
        <v>199</v>
      </c>
      <c r="G69" s="106">
        <v>199</v>
      </c>
      <c r="H69" s="106">
        <v>199</v>
      </c>
      <c r="I69" s="266">
        <v>2735.1</v>
      </c>
      <c r="J69" s="287">
        <f>I69*C69</f>
        <v>516933.89999999997</v>
      </c>
      <c r="K69" s="287">
        <f>I69*D69</f>
        <v>529788.87</v>
      </c>
      <c r="L69" s="287">
        <f>I69*E69</f>
        <v>561789.54</v>
      </c>
      <c r="M69" s="287">
        <f>I69*F69</f>
        <v>544284.9</v>
      </c>
      <c r="N69" s="287">
        <f>I69*G69</f>
        <v>544284.9</v>
      </c>
      <c r="O69" s="287">
        <f>I69*H69</f>
        <v>544284.9</v>
      </c>
      <c r="P69" s="279">
        <f aca="true" t="shared" si="37" ref="P69:T72">K69/J69*100</f>
        <v>102.4867724867725</v>
      </c>
      <c r="Q69" s="279">
        <f t="shared" si="37"/>
        <v>106.04026845637584</v>
      </c>
      <c r="R69" s="279">
        <f t="shared" si="37"/>
        <v>96.88412852969815</v>
      </c>
      <c r="S69" s="279">
        <f t="shared" si="37"/>
        <v>100</v>
      </c>
      <c r="T69" s="279">
        <f t="shared" si="37"/>
        <v>100</v>
      </c>
    </row>
    <row r="70" spans="1:20" ht="26.25">
      <c r="A70" s="272" t="s">
        <v>56</v>
      </c>
      <c r="B70" s="107" t="s">
        <v>23</v>
      </c>
      <c r="C70" s="106">
        <v>273122</v>
      </c>
      <c r="D70" s="106">
        <v>287105</v>
      </c>
      <c r="E70" s="106">
        <v>287000</v>
      </c>
      <c r="F70" s="106">
        <v>280000</v>
      </c>
      <c r="G70" s="106">
        <v>280000</v>
      </c>
      <c r="H70" s="106">
        <v>280000</v>
      </c>
      <c r="I70" s="266">
        <v>15.83</v>
      </c>
      <c r="J70" s="287">
        <f>I70*C70</f>
        <v>4323521.26</v>
      </c>
      <c r="K70" s="287">
        <f>I70*D70</f>
        <v>4544872.15</v>
      </c>
      <c r="L70" s="287">
        <f>I70*E70</f>
        <v>4543210</v>
      </c>
      <c r="M70" s="287">
        <f>I70*F70</f>
        <v>4432400</v>
      </c>
      <c r="N70" s="287">
        <f>I70*G70</f>
        <v>4432400</v>
      </c>
      <c r="O70" s="287">
        <f>I70*H70</f>
        <v>4432400</v>
      </c>
      <c r="P70" s="279">
        <f t="shared" si="37"/>
        <v>105.11969010185926</v>
      </c>
      <c r="Q70" s="279">
        <f t="shared" si="37"/>
        <v>99.96342801414116</v>
      </c>
      <c r="R70" s="279">
        <f t="shared" si="37"/>
        <v>97.5609756097561</v>
      </c>
      <c r="S70" s="279">
        <f t="shared" si="37"/>
        <v>100</v>
      </c>
      <c r="T70" s="279">
        <f t="shared" si="37"/>
        <v>100</v>
      </c>
    </row>
    <row r="71" spans="1:20" ht="52.5">
      <c r="A71" s="272" t="s">
        <v>57</v>
      </c>
      <c r="B71" s="107" t="s">
        <v>23</v>
      </c>
      <c r="C71" s="106">
        <v>6895</v>
      </c>
      <c r="D71" s="106">
        <v>6806</v>
      </c>
      <c r="E71" s="106">
        <v>6720</v>
      </c>
      <c r="F71" s="106">
        <v>6720</v>
      </c>
      <c r="G71" s="106">
        <v>6720</v>
      </c>
      <c r="H71" s="106">
        <v>6720</v>
      </c>
      <c r="I71" s="266">
        <v>4.37</v>
      </c>
      <c r="J71" s="287">
        <f>I71*C71</f>
        <v>30131.15</v>
      </c>
      <c r="K71" s="287">
        <f>I71*D71</f>
        <v>29742.22</v>
      </c>
      <c r="L71" s="287">
        <f>I71*E71</f>
        <v>29366.4</v>
      </c>
      <c r="M71" s="287">
        <f>I71*F71</f>
        <v>29366.4</v>
      </c>
      <c r="N71" s="287">
        <f>I71*G71</f>
        <v>29366.4</v>
      </c>
      <c r="O71" s="287">
        <f>I71*H71</f>
        <v>29366.4</v>
      </c>
      <c r="P71" s="279">
        <f t="shared" si="37"/>
        <v>98.70920957215374</v>
      </c>
      <c r="Q71" s="279">
        <f t="shared" si="37"/>
        <v>98.7364090508375</v>
      </c>
      <c r="R71" s="279">
        <f t="shared" si="37"/>
        <v>100</v>
      </c>
      <c r="S71" s="279">
        <f t="shared" si="37"/>
        <v>100</v>
      </c>
      <c r="T71" s="279">
        <v>0</v>
      </c>
    </row>
    <row r="72" spans="1:20" ht="26.25">
      <c r="A72" s="275" t="s">
        <v>121</v>
      </c>
      <c r="B72" s="107" t="s">
        <v>73</v>
      </c>
      <c r="C72" s="107" t="s">
        <v>73</v>
      </c>
      <c r="D72" s="107" t="s">
        <v>73</v>
      </c>
      <c r="E72" s="107" t="s">
        <v>73</v>
      </c>
      <c r="F72" s="107" t="s">
        <v>73</v>
      </c>
      <c r="G72" s="107" t="s">
        <v>73</v>
      </c>
      <c r="H72" s="107" t="s">
        <v>73</v>
      </c>
      <c r="I72" s="107" t="s">
        <v>73</v>
      </c>
      <c r="J72" s="273">
        <f aca="true" t="shared" si="38" ref="J72:O72">J69+J70+J71</f>
        <v>4870586.3100000005</v>
      </c>
      <c r="K72" s="273">
        <f t="shared" si="38"/>
        <v>5104403.24</v>
      </c>
      <c r="L72" s="273">
        <f t="shared" si="38"/>
        <v>5134365.94</v>
      </c>
      <c r="M72" s="273">
        <f t="shared" si="38"/>
        <v>5006051.300000001</v>
      </c>
      <c r="N72" s="273">
        <f t="shared" si="38"/>
        <v>5006051.300000001</v>
      </c>
      <c r="O72" s="273">
        <f t="shared" si="38"/>
        <v>5006051.300000001</v>
      </c>
      <c r="P72" s="279">
        <f t="shared" si="37"/>
        <v>104.80059104013702</v>
      </c>
      <c r="Q72" s="279">
        <f t="shared" si="37"/>
        <v>100.58699711976517</v>
      </c>
      <c r="R72" s="279">
        <f t="shared" si="37"/>
        <v>97.50086687432335</v>
      </c>
      <c r="S72" s="279">
        <f t="shared" si="37"/>
        <v>100</v>
      </c>
      <c r="T72" s="279">
        <f>O72/N72*100</f>
        <v>100</v>
      </c>
    </row>
    <row r="73" spans="1:20" ht="57.75" customHeight="1">
      <c r="A73" s="292" t="s">
        <v>90</v>
      </c>
      <c r="B73" s="293"/>
      <c r="C73" s="294"/>
      <c r="D73" s="294"/>
      <c r="E73" s="294"/>
      <c r="F73" s="294"/>
      <c r="G73" s="294"/>
      <c r="H73" s="294"/>
      <c r="I73" s="266"/>
      <c r="J73" s="273"/>
      <c r="K73" s="273"/>
      <c r="L73" s="273"/>
      <c r="M73" s="273"/>
      <c r="N73" s="273"/>
      <c r="O73" s="273"/>
      <c r="P73" s="277"/>
      <c r="Q73" s="277"/>
      <c r="R73" s="277"/>
      <c r="S73" s="277"/>
      <c r="T73" s="277"/>
    </row>
    <row r="74" spans="1:20" ht="27.75" customHeight="1">
      <c r="A74" s="289" t="s">
        <v>123</v>
      </c>
      <c r="B74" s="293"/>
      <c r="C74" s="294"/>
      <c r="D74" s="294"/>
      <c r="E74" s="294"/>
      <c r="F74" s="294"/>
      <c r="G74" s="294"/>
      <c r="H74" s="294"/>
      <c r="I74" s="266"/>
      <c r="J74" s="273"/>
      <c r="K74" s="273"/>
      <c r="L74" s="273"/>
      <c r="M74" s="273"/>
      <c r="N74" s="273"/>
      <c r="O74" s="273"/>
      <c r="P74" s="277"/>
      <c r="Q74" s="277"/>
      <c r="R74" s="277"/>
      <c r="S74" s="277"/>
      <c r="T74" s="277"/>
    </row>
    <row r="75" spans="1:20" ht="26.25">
      <c r="A75" s="272" t="s">
        <v>58</v>
      </c>
      <c r="B75" s="107" t="s">
        <v>23</v>
      </c>
      <c r="C75" s="106">
        <v>0</v>
      </c>
      <c r="D75" s="106">
        <v>0</v>
      </c>
      <c r="E75" s="106">
        <v>0</v>
      </c>
      <c r="F75" s="106">
        <v>0</v>
      </c>
      <c r="G75" s="106">
        <v>0</v>
      </c>
      <c r="H75" s="106">
        <v>0</v>
      </c>
      <c r="I75" s="266">
        <v>20.28</v>
      </c>
      <c r="J75" s="287">
        <f>I75*C75</f>
        <v>0</v>
      </c>
      <c r="K75" s="287">
        <f>I75*D75</f>
        <v>0</v>
      </c>
      <c r="L75" s="287">
        <f>I75*E75</f>
        <v>0</v>
      </c>
      <c r="M75" s="287">
        <f>I75*F75</f>
        <v>0</v>
      </c>
      <c r="N75" s="287">
        <f>I75*G75</f>
        <v>0</v>
      </c>
      <c r="O75" s="287">
        <f>I75*H75</f>
        <v>0</v>
      </c>
      <c r="P75" s="279">
        <v>0</v>
      </c>
      <c r="Q75" s="279">
        <v>0</v>
      </c>
      <c r="R75" s="279">
        <v>0</v>
      </c>
      <c r="S75" s="279">
        <v>0</v>
      </c>
      <c r="T75" s="279">
        <v>0</v>
      </c>
    </row>
    <row r="76" spans="1:20" ht="26.25">
      <c r="A76" s="275" t="s">
        <v>122</v>
      </c>
      <c r="B76" s="107" t="s">
        <v>73</v>
      </c>
      <c r="C76" s="107" t="s">
        <v>73</v>
      </c>
      <c r="D76" s="107" t="s">
        <v>73</v>
      </c>
      <c r="E76" s="107" t="s">
        <v>73</v>
      </c>
      <c r="F76" s="107" t="s">
        <v>73</v>
      </c>
      <c r="G76" s="107" t="s">
        <v>73</v>
      </c>
      <c r="H76" s="107" t="s">
        <v>73</v>
      </c>
      <c r="I76" s="107" t="s">
        <v>73</v>
      </c>
      <c r="J76" s="288">
        <f aca="true" t="shared" si="39" ref="J76:O76">J75</f>
        <v>0</v>
      </c>
      <c r="K76" s="288">
        <f t="shared" si="39"/>
        <v>0</v>
      </c>
      <c r="L76" s="288">
        <f t="shared" si="39"/>
        <v>0</v>
      </c>
      <c r="M76" s="288">
        <f t="shared" si="39"/>
        <v>0</v>
      </c>
      <c r="N76" s="288">
        <f t="shared" si="39"/>
        <v>0</v>
      </c>
      <c r="O76" s="288">
        <f t="shared" si="39"/>
        <v>0</v>
      </c>
      <c r="P76" s="279">
        <v>0</v>
      </c>
      <c r="Q76" s="279">
        <v>0</v>
      </c>
      <c r="R76" s="279">
        <v>0</v>
      </c>
      <c r="S76" s="279">
        <v>0</v>
      </c>
      <c r="T76" s="279">
        <v>0</v>
      </c>
    </row>
    <row r="77" spans="1:20" ht="26.25">
      <c r="A77" s="281" t="s">
        <v>124</v>
      </c>
      <c r="B77" s="196" t="s">
        <v>73</v>
      </c>
      <c r="C77" s="196" t="s">
        <v>73</v>
      </c>
      <c r="D77" s="196" t="s">
        <v>73</v>
      </c>
      <c r="E77" s="196" t="s">
        <v>73</v>
      </c>
      <c r="F77" s="196" t="s">
        <v>73</v>
      </c>
      <c r="G77" s="196" t="s">
        <v>73</v>
      </c>
      <c r="H77" s="196" t="s">
        <v>73</v>
      </c>
      <c r="I77" s="196" t="s">
        <v>73</v>
      </c>
      <c r="J77" s="282">
        <f aca="true" t="shared" si="40" ref="J77:O77">J72+J76</f>
        <v>4870586.3100000005</v>
      </c>
      <c r="K77" s="282">
        <f t="shared" si="40"/>
        <v>5104403.24</v>
      </c>
      <c r="L77" s="282">
        <f t="shared" si="40"/>
        <v>5134365.94</v>
      </c>
      <c r="M77" s="282">
        <f t="shared" si="40"/>
        <v>5006051.300000001</v>
      </c>
      <c r="N77" s="282">
        <f t="shared" si="40"/>
        <v>5006051.300000001</v>
      </c>
      <c r="O77" s="282">
        <f t="shared" si="40"/>
        <v>5006051.300000001</v>
      </c>
      <c r="P77" s="279">
        <f>K77/J77*100</f>
        <v>104.80059104013702</v>
      </c>
      <c r="Q77" s="279">
        <f>L77/K77*100</f>
        <v>100.58699711976517</v>
      </c>
      <c r="R77" s="279">
        <f>M77/L77*100</f>
        <v>97.50086687432335</v>
      </c>
      <c r="S77" s="279">
        <f>N77/M77*100</f>
        <v>100</v>
      </c>
      <c r="T77" s="279">
        <f>O77/N77*100</f>
        <v>100</v>
      </c>
    </row>
    <row r="78" spans="1:20" ht="52.5" customHeight="1">
      <c r="A78" s="283" t="s">
        <v>91</v>
      </c>
      <c r="B78" s="107"/>
      <c r="C78" s="106"/>
      <c r="D78" s="106"/>
      <c r="E78" s="106"/>
      <c r="F78" s="106"/>
      <c r="G78" s="106"/>
      <c r="H78" s="106"/>
      <c r="I78" s="266"/>
      <c r="J78" s="273"/>
      <c r="K78" s="273"/>
      <c r="L78" s="273"/>
      <c r="M78" s="273"/>
      <c r="N78" s="273"/>
      <c r="O78" s="273"/>
      <c r="P78" s="277"/>
      <c r="Q78" s="277"/>
      <c r="R78" s="277"/>
      <c r="S78" s="277"/>
      <c r="T78" s="277"/>
    </row>
    <row r="79" spans="1:20" ht="25.5" customHeight="1">
      <c r="A79" s="289" t="s">
        <v>125</v>
      </c>
      <c r="B79" s="107"/>
      <c r="C79" s="106"/>
      <c r="D79" s="106"/>
      <c r="E79" s="106"/>
      <c r="F79" s="106"/>
      <c r="G79" s="106"/>
      <c r="H79" s="106"/>
      <c r="I79" s="266"/>
      <c r="J79" s="273"/>
      <c r="K79" s="273"/>
      <c r="L79" s="273"/>
      <c r="M79" s="273"/>
      <c r="N79" s="273"/>
      <c r="O79" s="273"/>
      <c r="P79" s="277"/>
      <c r="Q79" s="277"/>
      <c r="R79" s="277"/>
      <c r="S79" s="277"/>
      <c r="T79" s="277"/>
    </row>
    <row r="80" spans="1:20" ht="26.25">
      <c r="A80" s="272" t="s">
        <v>60</v>
      </c>
      <c r="B80" s="280" t="s">
        <v>22</v>
      </c>
      <c r="C80" s="106">
        <v>0.6</v>
      </c>
      <c r="D80" s="106">
        <v>0.8</v>
      </c>
      <c r="E80" s="106">
        <v>1.2</v>
      </c>
      <c r="F80" s="106">
        <v>1.4</v>
      </c>
      <c r="G80" s="106">
        <v>1.6</v>
      </c>
      <c r="H80" s="106">
        <v>1.8</v>
      </c>
      <c r="I80" s="266">
        <v>3293.29</v>
      </c>
      <c r="J80" s="287">
        <f>I80*C80</f>
        <v>1975.974</v>
      </c>
      <c r="K80" s="287">
        <f>I80*D80</f>
        <v>2634.632</v>
      </c>
      <c r="L80" s="287">
        <f>I80*E80</f>
        <v>3951.948</v>
      </c>
      <c r="M80" s="287">
        <f>I80*F80</f>
        <v>4610.606</v>
      </c>
      <c r="N80" s="287">
        <f>I80*G80</f>
        <v>5269.264</v>
      </c>
      <c r="O80" s="287">
        <f>I80*H80</f>
        <v>5927.9220000000005</v>
      </c>
      <c r="P80" s="279">
        <f aca="true" t="shared" si="41" ref="P80:T83">K80/J80*100</f>
        <v>133.33333333333334</v>
      </c>
      <c r="Q80" s="279">
        <f t="shared" si="41"/>
        <v>150</v>
      </c>
      <c r="R80" s="279">
        <f t="shared" si="41"/>
        <v>116.66666666666667</v>
      </c>
      <c r="S80" s="279">
        <f t="shared" si="41"/>
        <v>114.2857142857143</v>
      </c>
      <c r="T80" s="279">
        <f t="shared" si="41"/>
        <v>112.5</v>
      </c>
    </row>
    <row r="81" spans="1:20" ht="26.25">
      <c r="A81" s="272" t="s">
        <v>61</v>
      </c>
      <c r="B81" s="280" t="s">
        <v>22</v>
      </c>
      <c r="C81" s="106">
        <v>0</v>
      </c>
      <c r="D81" s="106">
        <v>0</v>
      </c>
      <c r="E81" s="106">
        <v>1</v>
      </c>
      <c r="F81" s="106">
        <v>0</v>
      </c>
      <c r="G81" s="106">
        <v>1</v>
      </c>
      <c r="H81" s="106">
        <v>0</v>
      </c>
      <c r="I81" s="266">
        <v>1080.03</v>
      </c>
      <c r="J81" s="287">
        <f>I81*C81</f>
        <v>0</v>
      </c>
      <c r="K81" s="287">
        <f>I81*D81</f>
        <v>0</v>
      </c>
      <c r="L81" s="287">
        <f>I81*E81</f>
        <v>1080.03</v>
      </c>
      <c r="M81" s="287">
        <f>I81*F81</f>
        <v>0</v>
      </c>
      <c r="N81" s="287">
        <f>I81*G81</f>
        <v>1080.03</v>
      </c>
      <c r="O81" s="287">
        <f>I81*H81</f>
        <v>0</v>
      </c>
      <c r="P81" s="279">
        <v>0</v>
      </c>
      <c r="Q81" s="279">
        <v>0</v>
      </c>
      <c r="R81" s="279">
        <v>0</v>
      </c>
      <c r="S81" s="279">
        <v>0</v>
      </c>
      <c r="T81" s="279">
        <v>0</v>
      </c>
    </row>
    <row r="82" spans="1:20" ht="26.25">
      <c r="A82" s="272" t="s">
        <v>62</v>
      </c>
      <c r="B82" s="280" t="s">
        <v>22</v>
      </c>
      <c r="C82" s="106">
        <v>7.4</v>
      </c>
      <c r="D82" s="106">
        <v>8.6</v>
      </c>
      <c r="E82" s="295">
        <v>8.5</v>
      </c>
      <c r="F82" s="106">
        <v>9</v>
      </c>
      <c r="G82" s="106">
        <v>9.5</v>
      </c>
      <c r="H82" s="106">
        <v>10</v>
      </c>
      <c r="I82" s="266">
        <v>1081.05</v>
      </c>
      <c r="J82" s="287">
        <f>I82*C82</f>
        <v>7999.77</v>
      </c>
      <c r="K82" s="287">
        <f>I82*D82</f>
        <v>9297.029999999999</v>
      </c>
      <c r="L82" s="287">
        <f>I82*E82</f>
        <v>9188.925</v>
      </c>
      <c r="M82" s="287">
        <f>I82*F82</f>
        <v>9729.449999999999</v>
      </c>
      <c r="N82" s="287">
        <f>I82*G82</f>
        <v>10269.975</v>
      </c>
      <c r="O82" s="287">
        <f>I82*H82</f>
        <v>10810.5</v>
      </c>
      <c r="P82" s="279">
        <f t="shared" si="41"/>
        <v>116.21621621621621</v>
      </c>
      <c r="Q82" s="279">
        <f t="shared" si="41"/>
        <v>98.83720930232559</v>
      </c>
      <c r="R82" s="279">
        <f t="shared" si="41"/>
        <v>105.88235294117648</v>
      </c>
      <c r="S82" s="279">
        <f t="shared" si="41"/>
        <v>105.55555555555559</v>
      </c>
      <c r="T82" s="279">
        <f t="shared" si="41"/>
        <v>105.26315789473684</v>
      </c>
    </row>
    <row r="83" spans="1:20" ht="26.25">
      <c r="A83" s="275" t="s">
        <v>114</v>
      </c>
      <c r="B83" s="107" t="s">
        <v>73</v>
      </c>
      <c r="C83" s="107" t="s">
        <v>73</v>
      </c>
      <c r="D83" s="107" t="s">
        <v>73</v>
      </c>
      <c r="E83" s="19" t="s">
        <v>73</v>
      </c>
      <c r="F83" s="107" t="s">
        <v>73</v>
      </c>
      <c r="G83" s="107" t="s">
        <v>73</v>
      </c>
      <c r="H83" s="107" t="s">
        <v>73</v>
      </c>
      <c r="I83" s="107" t="s">
        <v>73</v>
      </c>
      <c r="J83" s="288">
        <f aca="true" t="shared" si="42" ref="J83:O83">J80+J81+J82</f>
        <v>9975.744</v>
      </c>
      <c r="K83" s="288">
        <f t="shared" si="42"/>
        <v>11931.661999999998</v>
      </c>
      <c r="L83" s="288">
        <f t="shared" si="42"/>
        <v>14220.902999999998</v>
      </c>
      <c r="M83" s="288">
        <f t="shared" si="42"/>
        <v>14340.055999999999</v>
      </c>
      <c r="N83" s="288">
        <f t="shared" si="42"/>
        <v>16619.269</v>
      </c>
      <c r="O83" s="288">
        <f t="shared" si="42"/>
        <v>16738.422</v>
      </c>
      <c r="P83" s="279">
        <f t="shared" si="41"/>
        <v>119.6067381039449</v>
      </c>
      <c r="Q83" s="279">
        <f t="shared" si="41"/>
        <v>119.1862709486742</v>
      </c>
      <c r="R83" s="279">
        <f t="shared" si="41"/>
        <v>100.83787225044712</v>
      </c>
      <c r="S83" s="279">
        <f t="shared" si="41"/>
        <v>115.89403137616759</v>
      </c>
      <c r="T83" s="279">
        <f t="shared" si="41"/>
        <v>100.71695692512105</v>
      </c>
    </row>
    <row r="84" spans="1:20" ht="26.25">
      <c r="A84" s="276" t="s">
        <v>219</v>
      </c>
      <c r="B84" s="280"/>
      <c r="C84" s="106"/>
      <c r="D84" s="106"/>
      <c r="E84" s="296"/>
      <c r="F84" s="106"/>
      <c r="G84" s="106"/>
      <c r="H84" s="106"/>
      <c r="I84" s="266"/>
      <c r="J84" s="287"/>
      <c r="K84" s="287"/>
      <c r="L84" s="287"/>
      <c r="M84" s="287"/>
      <c r="N84" s="287"/>
      <c r="O84" s="287"/>
      <c r="P84" s="279"/>
      <c r="Q84" s="279"/>
      <c r="R84" s="279"/>
      <c r="S84" s="279"/>
      <c r="T84" s="279"/>
    </row>
    <row r="85" spans="1:20" ht="52.5">
      <c r="A85" s="291" t="s">
        <v>235</v>
      </c>
      <c r="B85" s="280" t="s">
        <v>234</v>
      </c>
      <c r="C85" s="297">
        <v>124</v>
      </c>
      <c r="D85" s="297">
        <v>103</v>
      </c>
      <c r="E85" s="298">
        <v>137</v>
      </c>
      <c r="F85" s="299">
        <v>160</v>
      </c>
      <c r="G85" s="299">
        <v>200</v>
      </c>
      <c r="H85" s="299">
        <v>220</v>
      </c>
      <c r="I85" s="266">
        <v>2200.65</v>
      </c>
      <c r="J85" s="287">
        <f>I85*C85</f>
        <v>272880.60000000003</v>
      </c>
      <c r="K85" s="287">
        <f>I85*D85</f>
        <v>226666.95</v>
      </c>
      <c r="L85" s="287">
        <f>I85*E85</f>
        <v>301489.05</v>
      </c>
      <c r="M85" s="287">
        <f>I85*F85</f>
        <v>352104</v>
      </c>
      <c r="N85" s="287">
        <f>I85*G85</f>
        <v>440130</v>
      </c>
      <c r="O85" s="287">
        <f>I85*H85</f>
        <v>484143</v>
      </c>
      <c r="P85" s="279">
        <f aca="true" t="shared" si="43" ref="P85:T87">K85/J85*100</f>
        <v>83.06451612903226</v>
      </c>
      <c r="Q85" s="279">
        <f t="shared" si="43"/>
        <v>133.00970873786406</v>
      </c>
      <c r="R85" s="279">
        <f t="shared" si="43"/>
        <v>116.78832116788323</v>
      </c>
      <c r="S85" s="279">
        <f t="shared" si="43"/>
        <v>125</v>
      </c>
      <c r="T85" s="279">
        <f t="shared" si="43"/>
        <v>110.00000000000001</v>
      </c>
    </row>
    <row r="86" spans="1:20" ht="26.25">
      <c r="A86" s="281" t="s">
        <v>126</v>
      </c>
      <c r="B86" s="196" t="s">
        <v>73</v>
      </c>
      <c r="C86" s="196" t="s">
        <v>73</v>
      </c>
      <c r="D86" s="196" t="s">
        <v>73</v>
      </c>
      <c r="E86" s="300" t="s">
        <v>73</v>
      </c>
      <c r="F86" s="196" t="s">
        <v>73</v>
      </c>
      <c r="G86" s="196" t="s">
        <v>73</v>
      </c>
      <c r="H86" s="196" t="s">
        <v>73</v>
      </c>
      <c r="I86" s="196" t="s">
        <v>73</v>
      </c>
      <c r="J86" s="301">
        <f aca="true" t="shared" si="44" ref="J86:O86">J83+J85</f>
        <v>282856.34400000004</v>
      </c>
      <c r="K86" s="301">
        <f>K83+K85</f>
        <v>238598.61200000002</v>
      </c>
      <c r="L86" s="301">
        <f>L83+L85</f>
        <v>315709.953</v>
      </c>
      <c r="M86" s="301">
        <f t="shared" si="44"/>
        <v>366444.056</v>
      </c>
      <c r="N86" s="301">
        <f t="shared" si="44"/>
        <v>456749.269</v>
      </c>
      <c r="O86" s="301">
        <f t="shared" si="44"/>
        <v>500881.422</v>
      </c>
      <c r="P86" s="279">
        <f t="shared" si="43"/>
        <v>84.35328288058479</v>
      </c>
      <c r="Q86" s="279">
        <f t="shared" si="43"/>
        <v>132.31843653809685</v>
      </c>
      <c r="R86" s="279">
        <f t="shared" si="43"/>
        <v>116.0698459196185</v>
      </c>
      <c r="S86" s="279">
        <f t="shared" si="43"/>
        <v>124.6436561110436</v>
      </c>
      <c r="T86" s="279">
        <f t="shared" si="43"/>
        <v>109.66222739592388</v>
      </c>
    </row>
    <row r="87" spans="1:20" ht="26.25">
      <c r="A87" s="281" t="s">
        <v>127</v>
      </c>
      <c r="B87" s="196" t="s">
        <v>73</v>
      </c>
      <c r="C87" s="196" t="s">
        <v>73</v>
      </c>
      <c r="D87" s="196" t="s">
        <v>73</v>
      </c>
      <c r="E87" s="196" t="s">
        <v>73</v>
      </c>
      <c r="F87" s="196" t="s">
        <v>73</v>
      </c>
      <c r="G87" s="196" t="s">
        <v>73</v>
      </c>
      <c r="H87" s="196" t="s">
        <v>73</v>
      </c>
      <c r="I87" s="196" t="s">
        <v>73</v>
      </c>
      <c r="J87" s="282">
        <f>J86+J77+J66+J56+J45+J12</f>
        <v>5226146.742500001</v>
      </c>
      <c r="K87" s="282">
        <f>K86+K77+K66+K56+K45+K12</f>
        <v>5407055.046999999</v>
      </c>
      <c r="L87" s="290">
        <f>L86+L77+L66+L56+L45</f>
        <v>5511407.7155</v>
      </c>
      <c r="M87" s="290">
        <f>M86+M77+M66+M56+M45</f>
        <v>5441284.687000001</v>
      </c>
      <c r="N87" s="290">
        <f>N86+N77+N66+N56+N45</f>
        <v>5532073.541000001</v>
      </c>
      <c r="O87" s="290">
        <f>O86+O77+O66+O56+O45</f>
        <v>5576417.694000001</v>
      </c>
      <c r="P87" s="279">
        <f t="shared" si="43"/>
        <v>103.46160016956314</v>
      </c>
      <c r="Q87" s="279">
        <f t="shared" si="43"/>
        <v>101.92993538243888</v>
      </c>
      <c r="R87" s="279">
        <f t="shared" si="43"/>
        <v>98.7276748134095</v>
      </c>
      <c r="S87" s="279">
        <f t="shared" si="43"/>
        <v>101.66851872714741</v>
      </c>
      <c r="T87" s="279">
        <f t="shared" si="43"/>
        <v>100.801582854446</v>
      </c>
    </row>
    <row r="88" spans="1:20" ht="27">
      <c r="A88" s="391" t="s">
        <v>63</v>
      </c>
      <c r="B88" s="392"/>
      <c r="C88" s="392"/>
      <c r="D88" s="392"/>
      <c r="E88" s="392"/>
      <c r="F88" s="392"/>
      <c r="G88" s="392"/>
      <c r="H88" s="392"/>
      <c r="I88" s="392"/>
      <c r="J88" s="392"/>
      <c r="K88" s="392"/>
      <c r="L88" s="392"/>
      <c r="M88" s="392"/>
      <c r="N88" s="392"/>
      <c r="O88" s="392"/>
      <c r="P88" s="392"/>
      <c r="Q88" s="392"/>
      <c r="R88" s="392"/>
      <c r="S88" s="392"/>
      <c r="T88" s="392"/>
    </row>
    <row r="89" spans="1:20" ht="30.75" customHeight="1">
      <c r="A89" s="275" t="s">
        <v>65</v>
      </c>
      <c r="B89" s="107"/>
      <c r="C89" s="106"/>
      <c r="D89" s="106"/>
      <c r="E89" s="106"/>
      <c r="F89" s="106"/>
      <c r="G89" s="106"/>
      <c r="H89" s="106"/>
      <c r="I89" s="266"/>
      <c r="J89" s="302"/>
      <c r="K89" s="302"/>
      <c r="L89" s="302"/>
      <c r="M89" s="302"/>
      <c r="N89" s="302"/>
      <c r="O89" s="302"/>
      <c r="P89" s="303"/>
      <c r="Q89" s="303"/>
      <c r="R89" s="303"/>
      <c r="S89" s="303"/>
      <c r="T89" s="303"/>
    </row>
    <row r="90" spans="1:20" ht="30.75" customHeight="1">
      <c r="A90" s="276" t="s">
        <v>128</v>
      </c>
      <c r="B90" s="107"/>
      <c r="C90" s="106"/>
      <c r="D90" s="106"/>
      <c r="E90" s="106"/>
      <c r="F90" s="106"/>
      <c r="G90" s="106"/>
      <c r="H90" s="106"/>
      <c r="I90" s="304"/>
      <c r="J90" s="302"/>
      <c r="K90" s="302"/>
      <c r="L90" s="302"/>
      <c r="M90" s="302"/>
      <c r="N90" s="302"/>
      <c r="O90" s="302"/>
      <c r="P90" s="303"/>
      <c r="Q90" s="303"/>
      <c r="R90" s="303"/>
      <c r="S90" s="303"/>
      <c r="T90" s="303"/>
    </row>
    <row r="91" spans="1:20" ht="26.25">
      <c r="A91" s="272" t="s">
        <v>66</v>
      </c>
      <c r="B91" s="107" t="s">
        <v>64</v>
      </c>
      <c r="C91" s="106">
        <v>447.3</v>
      </c>
      <c r="D91" s="106">
        <v>418.959</v>
      </c>
      <c r="E91" s="106">
        <v>455.644</v>
      </c>
      <c r="F91" s="106">
        <v>440.634</v>
      </c>
      <c r="G91" s="106">
        <v>438.412</v>
      </c>
      <c r="H91" s="106">
        <v>448</v>
      </c>
      <c r="I91" s="304">
        <v>146.52</v>
      </c>
      <c r="J91" s="287">
        <f>I91*C91</f>
        <v>65538.39600000001</v>
      </c>
      <c r="K91" s="287">
        <f>I91*D91</f>
        <v>61385.87268000001</v>
      </c>
      <c r="L91" s="287">
        <f>I91*E91</f>
        <v>66760.95888</v>
      </c>
      <c r="M91" s="287">
        <f>I91*F91</f>
        <v>64561.693680000004</v>
      </c>
      <c r="N91" s="287">
        <f>I91*G91</f>
        <v>64236.12624</v>
      </c>
      <c r="O91" s="287">
        <f>I91*H91</f>
        <v>65640.96</v>
      </c>
      <c r="P91" s="279">
        <f aca="true" t="shared" si="45" ref="P91:T93">K91/J91*100</f>
        <v>93.66398390342053</v>
      </c>
      <c r="Q91" s="279">
        <f t="shared" si="45"/>
        <v>108.75622674295099</v>
      </c>
      <c r="R91" s="279">
        <f t="shared" si="45"/>
        <v>96.70576151556916</v>
      </c>
      <c r="S91" s="279">
        <f t="shared" si="45"/>
        <v>99.49572661210891</v>
      </c>
      <c r="T91" s="279">
        <f t="shared" si="45"/>
        <v>102.18698393292156</v>
      </c>
    </row>
    <row r="92" spans="1:20" ht="26.25">
      <c r="A92" s="275" t="s">
        <v>129</v>
      </c>
      <c r="B92" s="107" t="s">
        <v>73</v>
      </c>
      <c r="C92" s="107" t="s">
        <v>73</v>
      </c>
      <c r="D92" s="107" t="s">
        <v>73</v>
      </c>
      <c r="E92" s="107" t="s">
        <v>73</v>
      </c>
      <c r="F92" s="107" t="s">
        <v>73</v>
      </c>
      <c r="G92" s="107" t="s">
        <v>73</v>
      </c>
      <c r="H92" s="107" t="s">
        <v>73</v>
      </c>
      <c r="I92" s="107" t="s">
        <v>73</v>
      </c>
      <c r="J92" s="288">
        <f aca="true" t="shared" si="46" ref="J92:O92">J91</f>
        <v>65538.39600000001</v>
      </c>
      <c r="K92" s="288">
        <f t="shared" si="46"/>
        <v>61385.87268000001</v>
      </c>
      <c r="L92" s="288">
        <f t="shared" si="46"/>
        <v>66760.95888</v>
      </c>
      <c r="M92" s="288">
        <f t="shared" si="46"/>
        <v>64561.693680000004</v>
      </c>
      <c r="N92" s="288">
        <f t="shared" si="46"/>
        <v>64236.12624</v>
      </c>
      <c r="O92" s="288">
        <f t="shared" si="46"/>
        <v>65640.96</v>
      </c>
      <c r="P92" s="279">
        <f t="shared" si="45"/>
        <v>93.66398390342053</v>
      </c>
      <c r="Q92" s="279">
        <f t="shared" si="45"/>
        <v>108.75622674295099</v>
      </c>
      <c r="R92" s="279">
        <f t="shared" si="45"/>
        <v>96.70576151556916</v>
      </c>
      <c r="S92" s="279">
        <f t="shared" si="45"/>
        <v>99.49572661210891</v>
      </c>
      <c r="T92" s="279">
        <f t="shared" si="45"/>
        <v>102.18698393292156</v>
      </c>
    </row>
    <row r="93" spans="1:20" ht="50.25" customHeight="1">
      <c r="A93" s="305" t="s">
        <v>67</v>
      </c>
      <c r="B93" s="306" t="s">
        <v>73</v>
      </c>
      <c r="C93" s="306" t="s">
        <v>73</v>
      </c>
      <c r="D93" s="306" t="s">
        <v>73</v>
      </c>
      <c r="E93" s="306" t="s">
        <v>73</v>
      </c>
      <c r="F93" s="306" t="s">
        <v>73</v>
      </c>
      <c r="G93" s="306" t="s">
        <v>73</v>
      </c>
      <c r="H93" s="306" t="s">
        <v>73</v>
      </c>
      <c r="I93" s="306" t="s">
        <v>73</v>
      </c>
      <c r="J93" s="307">
        <f aca="true" t="shared" si="47" ref="J93:O93">J87+J92+J12</f>
        <v>5301005.2925</v>
      </c>
      <c r="K93" s="307">
        <f t="shared" si="47"/>
        <v>5474497.594679999</v>
      </c>
      <c r="L93" s="307">
        <f t="shared" si="47"/>
        <v>5588856.92438</v>
      </c>
      <c r="M93" s="307">
        <f t="shared" si="47"/>
        <v>5517247.18068</v>
      </c>
      <c r="N93" s="307">
        <f t="shared" si="47"/>
        <v>5608423.017240001</v>
      </c>
      <c r="O93" s="307">
        <f t="shared" si="47"/>
        <v>5654884.554000001</v>
      </c>
      <c r="P93" s="279">
        <f t="shared" si="45"/>
        <v>103.2728188825893</v>
      </c>
      <c r="Q93" s="279">
        <f t="shared" si="45"/>
        <v>102.08894656947393</v>
      </c>
      <c r="R93" s="279">
        <f t="shared" si="45"/>
        <v>98.71870501125875</v>
      </c>
      <c r="S93" s="279">
        <f t="shared" si="45"/>
        <v>101.65256029998575</v>
      </c>
      <c r="T93" s="279">
        <f t="shared" si="45"/>
        <v>100.82842425789175</v>
      </c>
    </row>
    <row r="94" spans="1:20" ht="27">
      <c r="A94" s="380" t="s">
        <v>68</v>
      </c>
      <c r="B94" s="381"/>
      <c r="C94" s="381"/>
      <c r="D94" s="381"/>
      <c r="E94" s="381"/>
      <c r="F94" s="381"/>
      <c r="G94" s="381"/>
      <c r="H94" s="381"/>
      <c r="I94" s="381"/>
      <c r="J94" s="381"/>
      <c r="K94" s="381"/>
      <c r="L94" s="381"/>
      <c r="M94" s="381"/>
      <c r="N94" s="381"/>
      <c r="O94" s="381"/>
      <c r="P94" s="381"/>
      <c r="Q94" s="381"/>
      <c r="R94" s="381"/>
      <c r="S94" s="381"/>
      <c r="T94" s="381"/>
    </row>
    <row r="95" spans="1:20" ht="27">
      <c r="A95" s="30" t="s">
        <v>260</v>
      </c>
      <c r="B95" s="308"/>
      <c r="C95" s="308"/>
      <c r="D95" s="308"/>
      <c r="E95" s="308"/>
      <c r="F95" s="308"/>
      <c r="G95" s="308"/>
      <c r="H95" s="308"/>
      <c r="I95" s="308"/>
      <c r="J95" s="308"/>
      <c r="K95" s="308"/>
      <c r="L95" s="308"/>
      <c r="M95" s="308"/>
      <c r="N95" s="308"/>
      <c r="O95" s="308"/>
      <c r="P95" s="308"/>
      <c r="Q95" s="308"/>
      <c r="R95" s="308"/>
      <c r="S95" s="308"/>
      <c r="T95" s="308"/>
    </row>
    <row r="96" spans="1:20" ht="45" customHeight="1">
      <c r="A96" s="291" t="s">
        <v>69</v>
      </c>
      <c r="B96" s="280" t="s">
        <v>51</v>
      </c>
      <c r="C96" s="107">
        <v>2.7</v>
      </c>
      <c r="D96" s="107">
        <v>2.7</v>
      </c>
      <c r="E96" s="107">
        <v>2.7</v>
      </c>
      <c r="F96" s="107">
        <v>6</v>
      </c>
      <c r="G96" s="107">
        <v>6</v>
      </c>
      <c r="H96" s="107">
        <v>6</v>
      </c>
      <c r="I96" s="266">
        <v>509.11</v>
      </c>
      <c r="J96" s="287">
        <f>I96*C96</f>
        <v>1374.5970000000002</v>
      </c>
      <c r="K96" s="287">
        <f>I96*D96</f>
        <v>1374.5970000000002</v>
      </c>
      <c r="L96" s="287">
        <f>I96*E96</f>
        <v>1374.5970000000002</v>
      </c>
      <c r="M96" s="287">
        <f>I96*F96</f>
        <v>3054.66</v>
      </c>
      <c r="N96" s="287">
        <f>I96*G96</f>
        <v>3054.66</v>
      </c>
      <c r="O96" s="287">
        <f>I96*H96</f>
        <v>3054.66</v>
      </c>
      <c r="P96" s="279">
        <f aca="true" t="shared" si="48" ref="P96:T97">K96/J96*100</f>
        <v>100</v>
      </c>
      <c r="Q96" s="279">
        <f t="shared" si="48"/>
        <v>100</v>
      </c>
      <c r="R96" s="279">
        <f t="shared" si="48"/>
        <v>222.2222222222222</v>
      </c>
      <c r="S96" s="279">
        <f t="shared" si="48"/>
        <v>100</v>
      </c>
      <c r="T96" s="279">
        <f t="shared" si="48"/>
        <v>100</v>
      </c>
    </row>
    <row r="97" spans="1:20" ht="27.75">
      <c r="A97" s="309" t="s">
        <v>24</v>
      </c>
      <c r="B97" s="306" t="s">
        <v>73</v>
      </c>
      <c r="C97" s="197" t="s">
        <v>73</v>
      </c>
      <c r="D97" s="197" t="s">
        <v>73</v>
      </c>
      <c r="E97" s="197" t="s">
        <v>73</v>
      </c>
      <c r="F97" s="197" t="s">
        <v>73</v>
      </c>
      <c r="G97" s="197" t="s">
        <v>73</v>
      </c>
      <c r="H97" s="197" t="s">
        <v>73</v>
      </c>
      <c r="I97" s="310" t="s">
        <v>73</v>
      </c>
      <c r="J97" s="311">
        <f aca="true" t="shared" si="49" ref="J97:O97">J96</f>
        <v>1374.5970000000002</v>
      </c>
      <c r="K97" s="311">
        <f t="shared" si="49"/>
        <v>1374.5970000000002</v>
      </c>
      <c r="L97" s="311">
        <f t="shared" si="49"/>
        <v>1374.5970000000002</v>
      </c>
      <c r="M97" s="311">
        <f t="shared" si="49"/>
        <v>3054.66</v>
      </c>
      <c r="N97" s="311">
        <f t="shared" si="49"/>
        <v>3054.66</v>
      </c>
      <c r="O97" s="311">
        <f t="shared" si="49"/>
        <v>3054.66</v>
      </c>
      <c r="P97" s="279">
        <f t="shared" si="48"/>
        <v>100</v>
      </c>
      <c r="Q97" s="279">
        <f t="shared" si="48"/>
        <v>100</v>
      </c>
      <c r="R97" s="279">
        <f t="shared" si="48"/>
        <v>222.2222222222222</v>
      </c>
      <c r="S97" s="279">
        <f t="shared" si="48"/>
        <v>100</v>
      </c>
      <c r="T97" s="279">
        <f t="shared" si="48"/>
        <v>100</v>
      </c>
    </row>
    <row r="98" spans="1:20" ht="27">
      <c r="A98" s="382" t="s">
        <v>70</v>
      </c>
      <c r="B98" s="383"/>
      <c r="C98" s="383"/>
      <c r="D98" s="383"/>
      <c r="E98" s="383"/>
      <c r="F98" s="383"/>
      <c r="G98" s="383"/>
      <c r="H98" s="383"/>
      <c r="I98" s="383"/>
      <c r="J98" s="383"/>
      <c r="K98" s="383"/>
      <c r="L98" s="383"/>
      <c r="M98" s="383"/>
      <c r="N98" s="383"/>
      <c r="O98" s="383"/>
      <c r="P98" s="383"/>
      <c r="Q98" s="383"/>
      <c r="R98" s="383"/>
      <c r="S98" s="383"/>
      <c r="T98" s="383"/>
    </row>
    <row r="99" spans="1:20" ht="27">
      <c r="A99" s="312" t="s">
        <v>113</v>
      </c>
      <c r="B99" s="313"/>
      <c r="C99" s="313"/>
      <c r="D99" s="313"/>
      <c r="E99" s="313"/>
      <c r="F99" s="313"/>
      <c r="G99" s="313"/>
      <c r="H99" s="313"/>
      <c r="I99" s="313"/>
      <c r="J99" s="313"/>
      <c r="K99" s="313"/>
      <c r="L99" s="313"/>
      <c r="M99" s="313"/>
      <c r="N99" s="313"/>
      <c r="O99" s="313"/>
      <c r="P99" s="313"/>
      <c r="Q99" s="313"/>
      <c r="R99" s="313"/>
      <c r="S99" s="313"/>
      <c r="T99" s="313"/>
    </row>
    <row r="100" spans="1:20" ht="26.25">
      <c r="A100" s="291" t="s">
        <v>130</v>
      </c>
      <c r="B100" s="107" t="s">
        <v>23</v>
      </c>
      <c r="C100" s="106">
        <v>25747.3</v>
      </c>
      <c r="D100" s="106">
        <v>27337.9</v>
      </c>
      <c r="E100" s="106">
        <v>31695.7</v>
      </c>
      <c r="F100" s="106">
        <v>31695.7</v>
      </c>
      <c r="G100" s="106">
        <v>31696</v>
      </c>
      <c r="H100" s="106">
        <v>31696</v>
      </c>
      <c r="I100" s="266">
        <v>1500</v>
      </c>
      <c r="J100" s="314">
        <f>I100*C100</f>
        <v>38620950</v>
      </c>
      <c r="K100" s="314">
        <f>I100*D100</f>
        <v>41006850</v>
      </c>
      <c r="L100" s="314">
        <f>I100*E100</f>
        <v>47543550</v>
      </c>
      <c r="M100" s="314">
        <f>I100*F100</f>
        <v>47543550</v>
      </c>
      <c r="N100" s="314">
        <f>I100*G100</f>
        <v>47544000</v>
      </c>
      <c r="O100" s="314">
        <f>I100*H100</f>
        <v>47544000</v>
      </c>
      <c r="P100" s="279">
        <f aca="true" t="shared" si="50" ref="P100:T102">K100/J100*100</f>
        <v>106.17773514116043</v>
      </c>
      <c r="Q100" s="279">
        <f t="shared" si="50"/>
        <v>115.94050750057612</v>
      </c>
      <c r="R100" s="279">
        <f t="shared" si="50"/>
        <v>100</v>
      </c>
      <c r="S100" s="279">
        <f t="shared" si="50"/>
        <v>100.00094650062942</v>
      </c>
      <c r="T100" s="279">
        <f t="shared" si="50"/>
        <v>100</v>
      </c>
    </row>
    <row r="101" spans="1:20" ht="26.25" hidden="1">
      <c r="A101" s="291" t="s">
        <v>72</v>
      </c>
      <c r="B101" s="107" t="s">
        <v>50</v>
      </c>
      <c r="C101" s="106"/>
      <c r="D101" s="106"/>
      <c r="E101" s="106"/>
      <c r="F101" s="106"/>
      <c r="G101" s="106"/>
      <c r="H101" s="106"/>
      <c r="I101" s="266">
        <v>90.8</v>
      </c>
      <c r="J101" s="314">
        <f>I101*C101</f>
        <v>0</v>
      </c>
      <c r="K101" s="314">
        <f>I101*D101</f>
        <v>0</v>
      </c>
      <c r="L101" s="314">
        <f>I101*E101</f>
        <v>0</v>
      </c>
      <c r="M101" s="314">
        <f>I101*F101</f>
        <v>0</v>
      </c>
      <c r="N101" s="314">
        <f>I101*G101</f>
        <v>0</v>
      </c>
      <c r="O101" s="314">
        <f>I101*H101</f>
        <v>0</v>
      </c>
      <c r="P101" s="279" t="e">
        <f t="shared" si="50"/>
        <v>#DIV/0!</v>
      </c>
      <c r="Q101" s="279" t="e">
        <f t="shared" si="50"/>
        <v>#DIV/0!</v>
      </c>
      <c r="R101" s="279" t="e">
        <f t="shared" si="50"/>
        <v>#DIV/0!</v>
      </c>
      <c r="S101" s="279" t="e">
        <f t="shared" si="50"/>
        <v>#DIV/0!</v>
      </c>
      <c r="T101" s="279" t="e">
        <f t="shared" si="50"/>
        <v>#DIV/0!</v>
      </c>
    </row>
    <row r="102" spans="1:20" ht="26.25">
      <c r="A102" s="275" t="s">
        <v>114</v>
      </c>
      <c r="B102" s="107" t="s">
        <v>73</v>
      </c>
      <c r="C102" s="107" t="s">
        <v>73</v>
      </c>
      <c r="D102" s="107" t="s">
        <v>73</v>
      </c>
      <c r="E102" s="107" t="s">
        <v>73</v>
      </c>
      <c r="F102" s="107" t="s">
        <v>73</v>
      </c>
      <c r="G102" s="107" t="s">
        <v>73</v>
      </c>
      <c r="H102" s="107" t="s">
        <v>73</v>
      </c>
      <c r="I102" s="107" t="s">
        <v>73</v>
      </c>
      <c r="J102" s="315">
        <f aca="true" t="shared" si="51" ref="J102:O102">J100</f>
        <v>38620950</v>
      </c>
      <c r="K102" s="315">
        <f t="shared" si="51"/>
        <v>41006850</v>
      </c>
      <c r="L102" s="315">
        <f t="shared" si="51"/>
        <v>47543550</v>
      </c>
      <c r="M102" s="315">
        <f t="shared" si="51"/>
        <v>47543550</v>
      </c>
      <c r="N102" s="315">
        <f t="shared" si="51"/>
        <v>47544000</v>
      </c>
      <c r="O102" s="315">
        <f t="shared" si="51"/>
        <v>47544000</v>
      </c>
      <c r="P102" s="279">
        <f t="shared" si="50"/>
        <v>106.17773514116043</v>
      </c>
      <c r="Q102" s="279">
        <f t="shared" si="50"/>
        <v>115.94050750057612</v>
      </c>
      <c r="R102" s="279">
        <f t="shared" si="50"/>
        <v>100</v>
      </c>
      <c r="S102" s="279">
        <f t="shared" si="50"/>
        <v>100.00094650062942</v>
      </c>
      <c r="T102" s="279">
        <f t="shared" si="50"/>
        <v>100</v>
      </c>
    </row>
    <row r="103" spans="1:20" ht="26.25">
      <c r="A103" s="30" t="s">
        <v>260</v>
      </c>
      <c r="B103" s="108"/>
      <c r="C103" s="108"/>
      <c r="D103" s="108"/>
      <c r="E103" s="108"/>
      <c r="F103" s="108"/>
      <c r="G103" s="108"/>
      <c r="H103" s="108"/>
      <c r="I103" s="108"/>
      <c r="J103" s="316"/>
      <c r="K103" s="316"/>
      <c r="L103" s="316"/>
      <c r="M103" s="316"/>
      <c r="N103" s="316"/>
      <c r="O103" s="316"/>
      <c r="P103" s="317"/>
      <c r="Q103" s="317"/>
      <c r="R103" s="317"/>
      <c r="S103" s="317"/>
      <c r="T103" s="317"/>
    </row>
    <row r="104" spans="1:20" ht="26.25">
      <c r="A104" s="291" t="s">
        <v>130</v>
      </c>
      <c r="B104" s="107" t="s">
        <v>23</v>
      </c>
      <c r="C104" s="106">
        <v>1.1</v>
      </c>
      <c r="D104" s="106">
        <v>0.6</v>
      </c>
      <c r="E104" s="106">
        <v>1</v>
      </c>
      <c r="F104" s="106">
        <v>1.5</v>
      </c>
      <c r="G104" s="106">
        <v>1</v>
      </c>
      <c r="H104" s="106">
        <v>1</v>
      </c>
      <c r="I104" s="266">
        <v>1500</v>
      </c>
      <c r="J104" s="314">
        <f>I104*C104</f>
        <v>1650.0000000000002</v>
      </c>
      <c r="K104" s="314">
        <f>I104*D104</f>
        <v>900</v>
      </c>
      <c r="L104" s="314">
        <f>I104*E104</f>
        <v>1500</v>
      </c>
      <c r="M104" s="314">
        <f>I104*F104</f>
        <v>2250</v>
      </c>
      <c r="N104" s="314">
        <f>I104*G104</f>
        <v>1500</v>
      </c>
      <c r="O104" s="314">
        <f>I104*H104</f>
        <v>1500</v>
      </c>
      <c r="P104" s="279">
        <f aca="true" t="shared" si="52" ref="P104:T108">K104/J104*100</f>
        <v>54.54545454545454</v>
      </c>
      <c r="Q104" s="279">
        <f t="shared" si="52"/>
        <v>166.66666666666669</v>
      </c>
      <c r="R104" s="279">
        <f t="shared" si="52"/>
        <v>150</v>
      </c>
      <c r="S104" s="279">
        <f t="shared" si="52"/>
        <v>66.66666666666666</v>
      </c>
      <c r="T104" s="279">
        <f t="shared" si="52"/>
        <v>100</v>
      </c>
    </row>
    <row r="105" spans="1:20" ht="26.25">
      <c r="A105" s="291" t="s">
        <v>72</v>
      </c>
      <c r="B105" s="107" t="s">
        <v>50</v>
      </c>
      <c r="C105" s="106">
        <v>57.6</v>
      </c>
      <c r="D105" s="106">
        <v>340</v>
      </c>
      <c r="E105" s="106">
        <v>300</v>
      </c>
      <c r="F105" s="106">
        <v>325</v>
      </c>
      <c r="G105" s="106">
        <v>325</v>
      </c>
      <c r="H105" s="106">
        <v>325</v>
      </c>
      <c r="I105" s="266">
        <v>90.8</v>
      </c>
      <c r="J105" s="314">
        <f>I105*C105</f>
        <v>5230.08</v>
      </c>
      <c r="K105" s="314">
        <f>I105*D105</f>
        <v>30872</v>
      </c>
      <c r="L105" s="314">
        <f>I105*E105</f>
        <v>27240</v>
      </c>
      <c r="M105" s="314">
        <f>I105*F105</f>
        <v>29510</v>
      </c>
      <c r="N105" s="314">
        <f>I105*G105</f>
        <v>29510</v>
      </c>
      <c r="O105" s="314">
        <f>I105*H105</f>
        <v>29510</v>
      </c>
      <c r="P105" s="279">
        <f t="shared" si="52"/>
        <v>590.2777777777777</v>
      </c>
      <c r="Q105" s="279">
        <f t="shared" si="52"/>
        <v>88.23529411764706</v>
      </c>
      <c r="R105" s="279">
        <f t="shared" si="52"/>
        <v>108.33333333333333</v>
      </c>
      <c r="S105" s="279">
        <f t="shared" si="52"/>
        <v>100</v>
      </c>
      <c r="T105" s="279">
        <f t="shared" si="52"/>
        <v>100</v>
      </c>
    </row>
    <row r="106" spans="1:20" ht="26.25">
      <c r="A106" s="291" t="s">
        <v>71</v>
      </c>
      <c r="B106" s="107" t="s">
        <v>23</v>
      </c>
      <c r="C106" s="106">
        <v>59</v>
      </c>
      <c r="D106" s="106">
        <v>22.7</v>
      </c>
      <c r="E106" s="106">
        <v>60</v>
      </c>
      <c r="F106" s="106">
        <v>60</v>
      </c>
      <c r="G106" s="106">
        <v>60</v>
      </c>
      <c r="H106" s="106">
        <v>60</v>
      </c>
      <c r="I106" s="266">
        <v>296.3</v>
      </c>
      <c r="J106" s="314">
        <f>I106*C106</f>
        <v>17481.7</v>
      </c>
      <c r="K106" s="314">
        <f>I106*D106</f>
        <v>6726.01</v>
      </c>
      <c r="L106" s="314">
        <f>I106*E106</f>
        <v>17778</v>
      </c>
      <c r="M106" s="314">
        <f>I106*F106</f>
        <v>17778</v>
      </c>
      <c r="N106" s="314">
        <f>I106*G106</f>
        <v>17778</v>
      </c>
      <c r="O106" s="314">
        <f>I106*H106</f>
        <v>17778</v>
      </c>
      <c r="P106" s="279">
        <f t="shared" si="52"/>
        <v>38.474576271186436</v>
      </c>
      <c r="Q106" s="279">
        <f t="shared" si="52"/>
        <v>264.3171806167401</v>
      </c>
      <c r="R106" s="279">
        <f t="shared" si="52"/>
        <v>100</v>
      </c>
      <c r="S106" s="279">
        <f t="shared" si="52"/>
        <v>100</v>
      </c>
      <c r="T106" s="279">
        <f t="shared" si="52"/>
        <v>100</v>
      </c>
    </row>
    <row r="107" spans="1:20" ht="26.25">
      <c r="A107" s="275" t="s">
        <v>114</v>
      </c>
      <c r="B107" s="107" t="s">
        <v>73</v>
      </c>
      <c r="C107" s="107" t="s">
        <v>73</v>
      </c>
      <c r="D107" s="107" t="s">
        <v>73</v>
      </c>
      <c r="E107" s="107" t="s">
        <v>73</v>
      </c>
      <c r="F107" s="107" t="s">
        <v>73</v>
      </c>
      <c r="G107" s="107" t="s">
        <v>73</v>
      </c>
      <c r="H107" s="107" t="s">
        <v>73</v>
      </c>
      <c r="I107" s="107" t="s">
        <v>73</v>
      </c>
      <c r="J107" s="288">
        <f aca="true" t="shared" si="53" ref="J107:O107">J104+J105+J106</f>
        <v>24361.78</v>
      </c>
      <c r="K107" s="288">
        <f t="shared" si="53"/>
        <v>38498.01</v>
      </c>
      <c r="L107" s="288">
        <f t="shared" si="53"/>
        <v>46518</v>
      </c>
      <c r="M107" s="288">
        <f t="shared" si="53"/>
        <v>49538</v>
      </c>
      <c r="N107" s="288">
        <f t="shared" si="53"/>
        <v>48788</v>
      </c>
      <c r="O107" s="318">
        <f t="shared" si="53"/>
        <v>48788</v>
      </c>
      <c r="P107" s="319">
        <f t="shared" si="52"/>
        <v>158.02626080688685</v>
      </c>
      <c r="Q107" s="319">
        <f t="shared" si="52"/>
        <v>120.83221963940474</v>
      </c>
      <c r="R107" s="319">
        <f t="shared" si="52"/>
        <v>106.49211058085042</v>
      </c>
      <c r="S107" s="319">
        <f t="shared" si="52"/>
        <v>98.4860107392305</v>
      </c>
      <c r="T107" s="319">
        <f t="shared" si="52"/>
        <v>100</v>
      </c>
    </row>
    <row r="108" spans="1:20" ht="27.75">
      <c r="A108" s="309" t="s">
        <v>131</v>
      </c>
      <c r="B108" s="306" t="s">
        <v>73</v>
      </c>
      <c r="C108" s="197" t="s">
        <v>73</v>
      </c>
      <c r="D108" s="197" t="s">
        <v>73</v>
      </c>
      <c r="E108" s="197" t="s">
        <v>73</v>
      </c>
      <c r="F108" s="197" t="s">
        <v>73</v>
      </c>
      <c r="G108" s="197" t="s">
        <v>73</v>
      </c>
      <c r="H108" s="197" t="s">
        <v>73</v>
      </c>
      <c r="I108" s="310" t="s">
        <v>73</v>
      </c>
      <c r="J108" s="311">
        <f aca="true" t="shared" si="54" ref="J108:O108">J102+J107</f>
        <v>38645311.78</v>
      </c>
      <c r="K108" s="311">
        <f t="shared" si="54"/>
        <v>41045348.01</v>
      </c>
      <c r="L108" s="311">
        <f t="shared" si="54"/>
        <v>47590068</v>
      </c>
      <c r="M108" s="311">
        <f t="shared" si="54"/>
        <v>47593088</v>
      </c>
      <c r="N108" s="320">
        <f t="shared" si="54"/>
        <v>47592788</v>
      </c>
      <c r="O108" s="321">
        <f t="shared" si="54"/>
        <v>47592788</v>
      </c>
      <c r="P108" s="322">
        <f t="shared" si="52"/>
        <v>106.21042015047755</v>
      </c>
      <c r="Q108" s="322">
        <f t="shared" si="52"/>
        <v>115.9450956254665</v>
      </c>
      <c r="R108" s="322">
        <f t="shared" si="52"/>
        <v>100.00634586191389</v>
      </c>
      <c r="S108" s="322">
        <f t="shared" si="52"/>
        <v>99.99936965636691</v>
      </c>
      <c r="T108" s="323">
        <f t="shared" si="52"/>
        <v>100</v>
      </c>
    </row>
    <row r="109" spans="1:20" ht="27.75">
      <c r="A109" s="324"/>
      <c r="B109" s="325"/>
      <c r="C109" s="8"/>
      <c r="D109" s="8"/>
      <c r="E109" s="8"/>
      <c r="F109" s="8"/>
      <c r="G109" s="8"/>
      <c r="H109" s="8"/>
      <c r="I109" s="24"/>
      <c r="J109" s="326"/>
      <c r="K109" s="326"/>
      <c r="L109" s="326"/>
      <c r="M109" s="326"/>
      <c r="N109" s="326"/>
      <c r="O109" s="326"/>
      <c r="P109" s="327"/>
      <c r="Q109" s="327"/>
      <c r="R109" s="327"/>
      <c r="S109" s="327"/>
      <c r="T109" s="327"/>
    </row>
    <row r="110" spans="1:20" ht="27.75">
      <c r="A110" s="324"/>
      <c r="B110" s="325"/>
      <c r="C110" s="8"/>
      <c r="D110" s="8"/>
      <c r="E110" s="8"/>
      <c r="F110" s="8"/>
      <c r="G110" s="8"/>
      <c r="H110" s="8"/>
      <c r="I110" s="24"/>
      <c r="J110" s="326"/>
      <c r="K110" s="326"/>
      <c r="L110" s="326"/>
      <c r="M110" s="326"/>
      <c r="N110" s="326"/>
      <c r="O110" s="326"/>
      <c r="P110" s="327"/>
      <c r="Q110" s="327"/>
      <c r="R110" s="327"/>
      <c r="S110" s="327"/>
      <c r="T110" s="327"/>
    </row>
    <row r="111" spans="1:20" ht="26.25">
      <c r="A111" s="328" t="s">
        <v>262</v>
      </c>
      <c r="B111" s="77"/>
      <c r="C111" s="74"/>
      <c r="D111" s="74"/>
      <c r="E111" s="74"/>
      <c r="F111" s="74"/>
      <c r="G111" s="74"/>
      <c r="H111" s="74"/>
      <c r="I111" s="68"/>
      <c r="J111" s="78"/>
      <c r="K111" s="78"/>
      <c r="L111" s="78"/>
      <c r="M111" s="78"/>
      <c r="N111" s="78"/>
      <c r="O111" s="78"/>
      <c r="P111" s="78"/>
      <c r="Q111" s="78"/>
      <c r="R111" s="78"/>
      <c r="S111" s="78"/>
      <c r="T111" s="78"/>
    </row>
    <row r="112" spans="1:20" ht="26.25">
      <c r="A112" s="329" t="s">
        <v>41</v>
      </c>
      <c r="B112" s="330" t="s">
        <v>220</v>
      </c>
      <c r="C112" s="106">
        <v>0.15</v>
      </c>
      <c r="D112" s="106">
        <v>0</v>
      </c>
      <c r="E112" s="106">
        <v>0</v>
      </c>
      <c r="F112" s="106">
        <v>0</v>
      </c>
      <c r="G112" s="106">
        <v>0</v>
      </c>
      <c r="H112" s="106">
        <v>0</v>
      </c>
      <c r="I112" s="68">
        <v>64.65</v>
      </c>
      <c r="J112" s="74">
        <f aca="true" t="shared" si="55" ref="J112:J133">I112*C112</f>
        <v>9.6975</v>
      </c>
      <c r="K112" s="74">
        <f aca="true" t="shared" si="56" ref="K112:K133">I112*D112</f>
        <v>0</v>
      </c>
      <c r="L112" s="74">
        <f aca="true" t="shared" si="57" ref="L112:L133">I112*E112</f>
        <v>0</v>
      </c>
      <c r="M112" s="74">
        <f aca="true" t="shared" si="58" ref="M112:M133">I112*F112</f>
        <v>0</v>
      </c>
      <c r="N112" s="74">
        <f aca="true" t="shared" si="59" ref="N112:N133">I112*G112</f>
        <v>0</v>
      </c>
      <c r="O112" s="74">
        <f aca="true" t="shared" si="60" ref="O112:O133">I112*H112</f>
        <v>0</v>
      </c>
      <c r="P112" s="78"/>
      <c r="Q112" s="78"/>
      <c r="R112" s="78"/>
      <c r="S112" s="78"/>
      <c r="T112" s="78"/>
    </row>
    <row r="113" spans="1:20" ht="26.25">
      <c r="A113" s="331" t="s">
        <v>221</v>
      </c>
      <c r="B113" s="332" t="s">
        <v>220</v>
      </c>
      <c r="C113" s="106">
        <v>0</v>
      </c>
      <c r="D113" s="106">
        <v>0</v>
      </c>
      <c r="E113" s="106">
        <v>0</v>
      </c>
      <c r="F113" s="106">
        <v>0</v>
      </c>
      <c r="G113" s="106">
        <v>0</v>
      </c>
      <c r="H113" s="106">
        <v>0</v>
      </c>
      <c r="I113" s="68">
        <v>287.09</v>
      </c>
      <c r="J113" s="74">
        <f t="shared" si="55"/>
        <v>0</v>
      </c>
      <c r="K113" s="74">
        <f t="shared" si="56"/>
        <v>0</v>
      </c>
      <c r="L113" s="74">
        <f t="shared" si="57"/>
        <v>0</v>
      </c>
      <c r="M113" s="74">
        <f t="shared" si="58"/>
        <v>0</v>
      </c>
      <c r="N113" s="74">
        <f t="shared" si="59"/>
        <v>0</v>
      </c>
      <c r="O113" s="74">
        <f t="shared" si="60"/>
        <v>0</v>
      </c>
      <c r="P113" s="78"/>
      <c r="Q113" s="78"/>
      <c r="R113" s="78"/>
      <c r="S113" s="78"/>
      <c r="T113" s="78"/>
    </row>
    <row r="114" spans="1:20" ht="26.25">
      <c r="A114" s="331" t="s">
        <v>222</v>
      </c>
      <c r="B114" s="332" t="s">
        <v>220</v>
      </c>
      <c r="C114" s="106">
        <v>4.4</v>
      </c>
      <c r="D114" s="106">
        <v>4.2</v>
      </c>
      <c r="E114" s="106">
        <v>2.5</v>
      </c>
      <c r="F114" s="106">
        <v>4</v>
      </c>
      <c r="G114" s="106">
        <v>4</v>
      </c>
      <c r="H114" s="106">
        <v>4</v>
      </c>
      <c r="I114" s="68">
        <v>504.26</v>
      </c>
      <c r="J114" s="74">
        <f t="shared" si="55"/>
        <v>2218.744</v>
      </c>
      <c r="K114" s="74">
        <f t="shared" si="56"/>
        <v>2117.892</v>
      </c>
      <c r="L114" s="74">
        <f t="shared" si="57"/>
        <v>1260.65</v>
      </c>
      <c r="M114" s="74">
        <f t="shared" si="58"/>
        <v>2017.04</v>
      </c>
      <c r="N114" s="74">
        <f t="shared" si="59"/>
        <v>2017.04</v>
      </c>
      <c r="O114" s="74">
        <f t="shared" si="60"/>
        <v>2017.04</v>
      </c>
      <c r="P114" s="78"/>
      <c r="Q114" s="78"/>
      <c r="R114" s="78"/>
      <c r="S114" s="78"/>
      <c r="T114" s="78"/>
    </row>
    <row r="115" spans="1:20" ht="26.25">
      <c r="A115" s="331" t="s">
        <v>97</v>
      </c>
      <c r="B115" s="332" t="s">
        <v>220</v>
      </c>
      <c r="C115" s="106">
        <v>2.6</v>
      </c>
      <c r="D115" s="106">
        <v>4.8</v>
      </c>
      <c r="E115" s="106">
        <v>6.8</v>
      </c>
      <c r="F115" s="106">
        <v>9</v>
      </c>
      <c r="G115" s="106">
        <v>9</v>
      </c>
      <c r="H115" s="106">
        <v>9</v>
      </c>
      <c r="I115" s="68">
        <v>272.1</v>
      </c>
      <c r="J115" s="74">
        <f t="shared" si="55"/>
        <v>707.46</v>
      </c>
      <c r="K115" s="74">
        <f t="shared" si="56"/>
        <v>1306.0800000000002</v>
      </c>
      <c r="L115" s="74">
        <f t="shared" si="57"/>
        <v>1850.2800000000002</v>
      </c>
      <c r="M115" s="74">
        <f t="shared" si="58"/>
        <v>2448.9</v>
      </c>
      <c r="N115" s="74">
        <f t="shared" si="59"/>
        <v>2448.9</v>
      </c>
      <c r="O115" s="74">
        <f t="shared" si="60"/>
        <v>2448.9</v>
      </c>
      <c r="P115" s="78"/>
      <c r="Q115" s="78"/>
      <c r="R115" s="78"/>
      <c r="S115" s="78"/>
      <c r="T115" s="78"/>
    </row>
    <row r="116" spans="1:20" ht="26.25">
      <c r="A116" s="331" t="s">
        <v>98</v>
      </c>
      <c r="B116" s="332" t="s">
        <v>220</v>
      </c>
      <c r="C116" s="106">
        <v>20.9</v>
      </c>
      <c r="D116" s="106">
        <v>18.7</v>
      </c>
      <c r="E116" s="106">
        <v>8.8</v>
      </c>
      <c r="F116" s="106">
        <v>10</v>
      </c>
      <c r="G116" s="106">
        <v>10</v>
      </c>
      <c r="H116" s="106">
        <v>10</v>
      </c>
      <c r="I116" s="68">
        <v>297.2</v>
      </c>
      <c r="J116" s="74">
        <f t="shared" si="55"/>
        <v>6211.48</v>
      </c>
      <c r="K116" s="74">
        <f t="shared" si="56"/>
        <v>5557.639999999999</v>
      </c>
      <c r="L116" s="74">
        <f t="shared" si="57"/>
        <v>2615.36</v>
      </c>
      <c r="M116" s="74">
        <f t="shared" si="58"/>
        <v>2972</v>
      </c>
      <c r="N116" s="74">
        <f t="shared" si="59"/>
        <v>2972</v>
      </c>
      <c r="O116" s="74">
        <f t="shared" si="60"/>
        <v>2972</v>
      </c>
      <c r="P116" s="78"/>
      <c r="Q116" s="78"/>
      <c r="R116" s="78"/>
      <c r="S116" s="78"/>
      <c r="T116" s="78"/>
    </row>
    <row r="117" spans="1:20" ht="26.25">
      <c r="A117" s="331" t="s">
        <v>223</v>
      </c>
      <c r="B117" s="332" t="s">
        <v>220</v>
      </c>
      <c r="C117" s="106">
        <v>2</v>
      </c>
      <c r="D117" s="106">
        <v>0.8</v>
      </c>
      <c r="E117" s="106">
        <v>2.5</v>
      </c>
      <c r="F117" s="106">
        <v>5</v>
      </c>
      <c r="G117" s="106">
        <v>5</v>
      </c>
      <c r="H117" s="106">
        <v>5</v>
      </c>
      <c r="I117" s="68">
        <v>289.6</v>
      </c>
      <c r="J117" s="74">
        <f t="shared" si="55"/>
        <v>579.2</v>
      </c>
      <c r="K117" s="74">
        <f t="shared" si="56"/>
        <v>231.68000000000004</v>
      </c>
      <c r="L117" s="74">
        <f t="shared" si="57"/>
        <v>724</v>
      </c>
      <c r="M117" s="74">
        <f t="shared" si="58"/>
        <v>1448</v>
      </c>
      <c r="N117" s="74">
        <f t="shared" si="59"/>
        <v>1448</v>
      </c>
      <c r="O117" s="74">
        <f t="shared" si="60"/>
        <v>1448</v>
      </c>
      <c r="P117" s="78"/>
      <c r="Q117" s="78"/>
      <c r="R117" s="78"/>
      <c r="S117" s="78"/>
      <c r="T117" s="78"/>
    </row>
    <row r="118" spans="1:20" ht="26.25">
      <c r="A118" s="331" t="s">
        <v>46</v>
      </c>
      <c r="B118" s="332" t="s">
        <v>224</v>
      </c>
      <c r="C118" s="106">
        <v>0</v>
      </c>
      <c r="D118" s="106">
        <v>0</v>
      </c>
      <c r="E118" s="106">
        <v>0</v>
      </c>
      <c r="F118" s="106">
        <v>0</v>
      </c>
      <c r="G118" s="106">
        <v>0</v>
      </c>
      <c r="H118" s="106">
        <v>0</v>
      </c>
      <c r="I118" s="68">
        <v>13.6</v>
      </c>
      <c r="J118" s="74">
        <f t="shared" si="55"/>
        <v>0</v>
      </c>
      <c r="K118" s="74">
        <f t="shared" si="56"/>
        <v>0</v>
      </c>
      <c r="L118" s="74">
        <f t="shared" si="57"/>
        <v>0</v>
      </c>
      <c r="M118" s="74">
        <f t="shared" si="58"/>
        <v>0</v>
      </c>
      <c r="N118" s="74">
        <f t="shared" si="59"/>
        <v>0</v>
      </c>
      <c r="O118" s="74">
        <f t="shared" si="60"/>
        <v>0</v>
      </c>
      <c r="P118" s="78"/>
      <c r="Q118" s="78"/>
      <c r="R118" s="78"/>
      <c r="S118" s="78"/>
      <c r="T118" s="78"/>
    </row>
    <row r="119" spans="1:20" ht="26.25">
      <c r="A119" s="331" t="s">
        <v>225</v>
      </c>
      <c r="B119" s="332" t="s">
        <v>220</v>
      </c>
      <c r="C119" s="107">
        <v>0.04</v>
      </c>
      <c r="D119" s="107">
        <v>0.06</v>
      </c>
      <c r="E119" s="107">
        <v>0.5</v>
      </c>
      <c r="F119" s="107">
        <v>0.5</v>
      </c>
      <c r="G119" s="107">
        <v>0.5</v>
      </c>
      <c r="H119" s="107">
        <v>0.5</v>
      </c>
      <c r="I119" s="68">
        <v>73.9</v>
      </c>
      <c r="J119" s="74">
        <f t="shared" si="55"/>
        <v>2.9560000000000004</v>
      </c>
      <c r="K119" s="74">
        <f t="shared" si="56"/>
        <v>4.434</v>
      </c>
      <c r="L119" s="74">
        <f t="shared" si="57"/>
        <v>36.95</v>
      </c>
      <c r="M119" s="74">
        <f t="shared" si="58"/>
        <v>36.95</v>
      </c>
      <c r="N119" s="74">
        <f t="shared" si="59"/>
        <v>36.95</v>
      </c>
      <c r="O119" s="74">
        <f t="shared" si="60"/>
        <v>36.95</v>
      </c>
      <c r="P119" s="78"/>
      <c r="Q119" s="78"/>
      <c r="R119" s="78"/>
      <c r="S119" s="78"/>
      <c r="T119" s="78"/>
    </row>
    <row r="120" spans="1:20" ht="26.25">
      <c r="A120" s="333" t="s">
        <v>84</v>
      </c>
      <c r="B120" s="77" t="s">
        <v>23</v>
      </c>
      <c r="C120" s="106">
        <v>10</v>
      </c>
      <c r="D120" s="106">
        <v>31.5</v>
      </c>
      <c r="E120" s="106">
        <v>30</v>
      </c>
      <c r="F120" s="106">
        <v>30</v>
      </c>
      <c r="G120" s="106">
        <v>30</v>
      </c>
      <c r="H120" s="106">
        <v>30</v>
      </c>
      <c r="I120" s="68">
        <v>39.05</v>
      </c>
      <c r="J120" s="74">
        <f t="shared" si="55"/>
        <v>390.5</v>
      </c>
      <c r="K120" s="74">
        <f t="shared" si="56"/>
        <v>1230.0749999999998</v>
      </c>
      <c r="L120" s="74">
        <f t="shared" si="57"/>
        <v>1171.5</v>
      </c>
      <c r="M120" s="74">
        <f t="shared" si="58"/>
        <v>1171.5</v>
      </c>
      <c r="N120" s="74">
        <f t="shared" si="59"/>
        <v>1171.5</v>
      </c>
      <c r="O120" s="74">
        <f t="shared" si="60"/>
        <v>1171.5</v>
      </c>
      <c r="P120" s="78"/>
      <c r="Q120" s="78"/>
      <c r="R120" s="78"/>
      <c r="S120" s="78"/>
      <c r="T120" s="78"/>
    </row>
    <row r="121" spans="1:20" ht="26.25">
      <c r="A121" s="333" t="s">
        <v>26</v>
      </c>
      <c r="B121" s="77" t="s">
        <v>23</v>
      </c>
      <c r="C121" s="106">
        <v>11.6</v>
      </c>
      <c r="D121" s="106">
        <v>14</v>
      </c>
      <c r="E121" s="106">
        <v>10</v>
      </c>
      <c r="F121" s="106">
        <v>12</v>
      </c>
      <c r="G121" s="106">
        <v>12</v>
      </c>
      <c r="H121" s="106">
        <v>12</v>
      </c>
      <c r="I121" s="68">
        <v>54.96</v>
      </c>
      <c r="J121" s="74">
        <f t="shared" si="55"/>
        <v>637.536</v>
      </c>
      <c r="K121" s="74">
        <f t="shared" si="56"/>
        <v>769.44</v>
      </c>
      <c r="L121" s="74">
        <f t="shared" si="57"/>
        <v>549.6</v>
      </c>
      <c r="M121" s="74">
        <f t="shared" si="58"/>
        <v>659.52</v>
      </c>
      <c r="N121" s="74">
        <f t="shared" si="59"/>
        <v>659.52</v>
      </c>
      <c r="O121" s="74">
        <f t="shared" si="60"/>
        <v>659.52</v>
      </c>
      <c r="P121" s="78"/>
      <c r="Q121" s="78"/>
      <c r="R121" s="78"/>
      <c r="S121" s="78"/>
      <c r="T121" s="78"/>
    </row>
    <row r="122" spans="1:20" ht="26.25">
      <c r="A122" s="333" t="s">
        <v>27</v>
      </c>
      <c r="B122" s="77" t="s">
        <v>23</v>
      </c>
      <c r="C122" s="106">
        <v>1</v>
      </c>
      <c r="D122" s="106">
        <v>0.2</v>
      </c>
      <c r="E122" s="106">
        <v>0</v>
      </c>
      <c r="F122" s="106">
        <v>1</v>
      </c>
      <c r="G122" s="106">
        <v>1</v>
      </c>
      <c r="H122" s="106">
        <v>1</v>
      </c>
      <c r="I122" s="68">
        <v>30</v>
      </c>
      <c r="J122" s="74">
        <f t="shared" si="55"/>
        <v>30</v>
      </c>
      <c r="K122" s="74">
        <f t="shared" si="56"/>
        <v>6</v>
      </c>
      <c r="L122" s="74">
        <f t="shared" si="57"/>
        <v>0</v>
      </c>
      <c r="M122" s="74">
        <f t="shared" si="58"/>
        <v>30</v>
      </c>
      <c r="N122" s="74">
        <f t="shared" si="59"/>
        <v>30</v>
      </c>
      <c r="O122" s="74">
        <f t="shared" si="60"/>
        <v>30</v>
      </c>
      <c r="P122" s="78"/>
      <c r="Q122" s="78"/>
      <c r="R122" s="78"/>
      <c r="S122" s="78"/>
      <c r="T122" s="78"/>
    </row>
    <row r="123" spans="1:20" ht="26.25">
      <c r="A123" s="333" t="s">
        <v>34</v>
      </c>
      <c r="B123" s="77" t="s">
        <v>23</v>
      </c>
      <c r="C123" s="74">
        <v>0</v>
      </c>
      <c r="D123" s="74">
        <v>0</v>
      </c>
      <c r="E123" s="74">
        <v>0</v>
      </c>
      <c r="F123" s="74">
        <v>0</v>
      </c>
      <c r="G123" s="74">
        <v>0</v>
      </c>
      <c r="H123" s="74">
        <v>0</v>
      </c>
      <c r="I123" s="68">
        <v>5.79</v>
      </c>
      <c r="J123" s="74">
        <f t="shared" si="55"/>
        <v>0</v>
      </c>
      <c r="K123" s="74">
        <f t="shared" si="56"/>
        <v>0</v>
      </c>
      <c r="L123" s="74">
        <f t="shared" si="57"/>
        <v>0</v>
      </c>
      <c r="M123" s="74">
        <f t="shared" si="58"/>
        <v>0</v>
      </c>
      <c r="N123" s="74">
        <f t="shared" si="59"/>
        <v>0</v>
      </c>
      <c r="O123" s="74">
        <f t="shared" si="60"/>
        <v>0</v>
      </c>
      <c r="P123" s="78"/>
      <c r="Q123" s="78"/>
      <c r="R123" s="78"/>
      <c r="S123" s="78"/>
      <c r="T123" s="78"/>
    </row>
    <row r="124" spans="1:20" ht="26.25">
      <c r="A124" s="333" t="s">
        <v>35</v>
      </c>
      <c r="B124" s="77" t="s">
        <v>23</v>
      </c>
      <c r="C124" s="106">
        <v>60</v>
      </c>
      <c r="D124" s="106">
        <v>0</v>
      </c>
      <c r="E124" s="106">
        <v>0</v>
      </c>
      <c r="F124" s="106">
        <v>0</v>
      </c>
      <c r="G124" s="106">
        <v>0</v>
      </c>
      <c r="H124" s="106">
        <v>0</v>
      </c>
      <c r="I124" s="68">
        <v>9.33</v>
      </c>
      <c r="J124" s="74">
        <f t="shared" si="55"/>
        <v>559.8</v>
      </c>
      <c r="K124" s="74">
        <f t="shared" si="56"/>
        <v>0</v>
      </c>
      <c r="L124" s="74">
        <f t="shared" si="57"/>
        <v>0</v>
      </c>
      <c r="M124" s="74">
        <f t="shared" si="58"/>
        <v>0</v>
      </c>
      <c r="N124" s="74">
        <f t="shared" si="59"/>
        <v>0</v>
      </c>
      <c r="O124" s="74">
        <f t="shared" si="60"/>
        <v>0</v>
      </c>
      <c r="P124" s="78"/>
      <c r="Q124" s="78"/>
      <c r="R124" s="78"/>
      <c r="S124" s="78"/>
      <c r="T124" s="78"/>
    </row>
    <row r="125" spans="1:20" ht="26.25">
      <c r="A125" s="333" t="s">
        <v>36</v>
      </c>
      <c r="B125" s="77" t="s">
        <v>23</v>
      </c>
      <c r="C125" s="106">
        <v>12.8</v>
      </c>
      <c r="D125" s="106">
        <v>185</v>
      </c>
      <c r="E125" s="106">
        <v>193</v>
      </c>
      <c r="F125" s="106">
        <v>193</v>
      </c>
      <c r="G125" s="106">
        <v>193</v>
      </c>
      <c r="H125" s="106">
        <v>193</v>
      </c>
      <c r="I125" s="68">
        <v>8.46</v>
      </c>
      <c r="J125" s="74">
        <f t="shared" si="55"/>
        <v>108.28800000000001</v>
      </c>
      <c r="K125" s="74">
        <f t="shared" si="56"/>
        <v>1565.1000000000001</v>
      </c>
      <c r="L125" s="74">
        <f t="shared" si="57"/>
        <v>1632.7800000000002</v>
      </c>
      <c r="M125" s="74">
        <f t="shared" si="58"/>
        <v>1632.7800000000002</v>
      </c>
      <c r="N125" s="74">
        <f t="shared" si="59"/>
        <v>1632.7800000000002</v>
      </c>
      <c r="O125" s="74">
        <f t="shared" si="60"/>
        <v>1632.7800000000002</v>
      </c>
      <c r="P125" s="78"/>
      <c r="Q125" s="78"/>
      <c r="R125" s="78"/>
      <c r="S125" s="78"/>
      <c r="T125" s="78"/>
    </row>
    <row r="126" spans="1:20" ht="26.25">
      <c r="A126" s="333" t="s">
        <v>37</v>
      </c>
      <c r="B126" s="77" t="s">
        <v>23</v>
      </c>
      <c r="C126" s="106">
        <v>7.4</v>
      </c>
      <c r="D126" s="106">
        <v>4</v>
      </c>
      <c r="E126" s="106">
        <v>3</v>
      </c>
      <c r="F126" s="106">
        <v>4</v>
      </c>
      <c r="G126" s="106">
        <v>4</v>
      </c>
      <c r="H126" s="106">
        <v>4</v>
      </c>
      <c r="I126" s="68">
        <v>17.82</v>
      </c>
      <c r="J126" s="74">
        <f t="shared" si="55"/>
        <v>131.868</v>
      </c>
      <c r="K126" s="74">
        <f t="shared" si="56"/>
        <v>71.28</v>
      </c>
      <c r="L126" s="74">
        <f t="shared" si="57"/>
        <v>53.46</v>
      </c>
      <c r="M126" s="74">
        <f t="shared" si="58"/>
        <v>71.28</v>
      </c>
      <c r="N126" s="74">
        <f t="shared" si="59"/>
        <v>71.28</v>
      </c>
      <c r="O126" s="74">
        <f t="shared" si="60"/>
        <v>71.28</v>
      </c>
      <c r="P126" s="78"/>
      <c r="Q126" s="78"/>
      <c r="R126" s="78"/>
      <c r="S126" s="78"/>
      <c r="T126" s="78"/>
    </row>
    <row r="127" spans="1:20" ht="26.25">
      <c r="A127" s="333" t="s">
        <v>38</v>
      </c>
      <c r="B127" s="77" t="s">
        <v>23</v>
      </c>
      <c r="C127" s="106">
        <v>0</v>
      </c>
      <c r="D127" s="106">
        <v>11</v>
      </c>
      <c r="E127" s="106">
        <v>12</v>
      </c>
      <c r="F127" s="106">
        <v>12</v>
      </c>
      <c r="G127" s="106">
        <v>12</v>
      </c>
      <c r="H127" s="106">
        <v>12</v>
      </c>
      <c r="I127" s="68">
        <v>8.02</v>
      </c>
      <c r="J127" s="74">
        <f t="shared" si="55"/>
        <v>0</v>
      </c>
      <c r="K127" s="74">
        <f t="shared" si="56"/>
        <v>88.22</v>
      </c>
      <c r="L127" s="74">
        <f t="shared" si="57"/>
        <v>96.24</v>
      </c>
      <c r="M127" s="74">
        <f t="shared" si="58"/>
        <v>96.24</v>
      </c>
      <c r="N127" s="74">
        <f t="shared" si="59"/>
        <v>96.24</v>
      </c>
      <c r="O127" s="74">
        <f t="shared" si="60"/>
        <v>96.24</v>
      </c>
      <c r="P127" s="78"/>
      <c r="Q127" s="78"/>
      <c r="R127" s="78"/>
      <c r="S127" s="78"/>
      <c r="T127" s="78"/>
    </row>
    <row r="128" spans="1:20" ht="26.25">
      <c r="A128" s="333" t="s">
        <v>32</v>
      </c>
      <c r="B128" s="77" t="s">
        <v>23</v>
      </c>
      <c r="C128" s="106">
        <v>133.7</v>
      </c>
      <c r="D128" s="106">
        <v>198</v>
      </c>
      <c r="E128" s="106">
        <v>200</v>
      </c>
      <c r="F128" s="106">
        <v>200</v>
      </c>
      <c r="G128" s="106">
        <v>200</v>
      </c>
      <c r="H128" s="106">
        <v>200</v>
      </c>
      <c r="I128" s="68">
        <v>61.3</v>
      </c>
      <c r="J128" s="74">
        <f t="shared" si="55"/>
        <v>8195.81</v>
      </c>
      <c r="K128" s="74">
        <f t="shared" si="56"/>
        <v>12137.4</v>
      </c>
      <c r="L128" s="74">
        <f t="shared" si="57"/>
        <v>12260</v>
      </c>
      <c r="M128" s="74">
        <f t="shared" si="58"/>
        <v>12260</v>
      </c>
      <c r="N128" s="74">
        <f t="shared" si="59"/>
        <v>12260</v>
      </c>
      <c r="O128" s="74">
        <f t="shared" si="60"/>
        <v>12260</v>
      </c>
      <c r="P128" s="78"/>
      <c r="Q128" s="78"/>
      <c r="R128" s="78"/>
      <c r="S128" s="78"/>
      <c r="T128" s="78"/>
    </row>
    <row r="129" spans="1:20" ht="52.5">
      <c r="A129" s="333" t="s">
        <v>49</v>
      </c>
      <c r="B129" s="77" t="s">
        <v>22</v>
      </c>
      <c r="C129" s="107">
        <v>1.4</v>
      </c>
      <c r="D129" s="107">
        <v>1.3</v>
      </c>
      <c r="E129" s="107">
        <v>1.3</v>
      </c>
      <c r="F129" s="107">
        <v>2.8</v>
      </c>
      <c r="G129" s="107">
        <v>2.8</v>
      </c>
      <c r="H129" s="107">
        <v>2.8</v>
      </c>
      <c r="I129" s="68">
        <v>2716.41</v>
      </c>
      <c r="J129" s="77">
        <f t="shared" si="55"/>
        <v>3802.9739999999997</v>
      </c>
      <c r="K129" s="77">
        <f t="shared" si="56"/>
        <v>3531.333</v>
      </c>
      <c r="L129" s="77">
        <f t="shared" si="57"/>
        <v>3531.333</v>
      </c>
      <c r="M129" s="77">
        <f t="shared" si="58"/>
        <v>7605.947999999999</v>
      </c>
      <c r="N129" s="77">
        <f t="shared" si="59"/>
        <v>7605.947999999999</v>
      </c>
      <c r="O129" s="77">
        <f t="shared" si="60"/>
        <v>7605.947999999999</v>
      </c>
      <c r="P129" s="78"/>
      <c r="Q129" s="78"/>
      <c r="R129" s="78"/>
      <c r="S129" s="78"/>
      <c r="T129" s="78"/>
    </row>
    <row r="130" spans="1:20" ht="52.5">
      <c r="A130" s="334" t="s">
        <v>69</v>
      </c>
      <c r="B130" s="1" t="s">
        <v>51</v>
      </c>
      <c r="C130" s="107">
        <v>2.7</v>
      </c>
      <c r="D130" s="107">
        <v>2.7</v>
      </c>
      <c r="E130" s="107">
        <v>2.7</v>
      </c>
      <c r="F130" s="107">
        <v>6</v>
      </c>
      <c r="G130" s="107">
        <v>6</v>
      </c>
      <c r="H130" s="107">
        <v>6</v>
      </c>
      <c r="I130" s="68">
        <v>509.11</v>
      </c>
      <c r="J130" s="77">
        <f t="shared" si="55"/>
        <v>1374.5970000000002</v>
      </c>
      <c r="K130" s="77">
        <f t="shared" si="56"/>
        <v>1374.5970000000002</v>
      </c>
      <c r="L130" s="77">
        <f t="shared" si="57"/>
        <v>1374.5970000000002</v>
      </c>
      <c r="M130" s="77">
        <f t="shared" si="58"/>
        <v>3054.66</v>
      </c>
      <c r="N130" s="77">
        <f t="shared" si="59"/>
        <v>3054.66</v>
      </c>
      <c r="O130" s="77">
        <f t="shared" si="60"/>
        <v>3054.66</v>
      </c>
      <c r="P130" s="78"/>
      <c r="Q130" s="78"/>
      <c r="R130" s="78"/>
      <c r="S130" s="78"/>
      <c r="T130" s="78"/>
    </row>
    <row r="131" spans="1:20" ht="26.25">
      <c r="A131" s="334" t="s">
        <v>363</v>
      </c>
      <c r="B131" s="77" t="s">
        <v>23</v>
      </c>
      <c r="C131" s="106">
        <v>1.1</v>
      </c>
      <c r="D131" s="106">
        <v>0.6</v>
      </c>
      <c r="E131" s="106">
        <v>1</v>
      </c>
      <c r="F131" s="106">
        <v>1.5</v>
      </c>
      <c r="G131" s="106">
        <v>1</v>
      </c>
      <c r="H131" s="106">
        <v>1</v>
      </c>
      <c r="I131" s="68">
        <v>1500</v>
      </c>
      <c r="J131" s="74">
        <f t="shared" si="55"/>
        <v>1650.0000000000002</v>
      </c>
      <c r="K131" s="74">
        <f t="shared" si="56"/>
        <v>900</v>
      </c>
      <c r="L131" s="74">
        <f t="shared" si="57"/>
        <v>1500</v>
      </c>
      <c r="M131" s="74">
        <f t="shared" si="58"/>
        <v>2250</v>
      </c>
      <c r="N131" s="74">
        <f t="shared" si="59"/>
        <v>1500</v>
      </c>
      <c r="O131" s="74">
        <f t="shared" si="60"/>
        <v>1500</v>
      </c>
      <c r="P131" s="78"/>
      <c r="Q131" s="78"/>
      <c r="R131" s="78"/>
      <c r="S131" s="78"/>
      <c r="T131" s="78"/>
    </row>
    <row r="132" spans="1:20" ht="26.25">
      <c r="A132" s="334" t="s">
        <v>72</v>
      </c>
      <c r="B132" s="77" t="s">
        <v>50</v>
      </c>
      <c r="C132" s="106">
        <v>57.6</v>
      </c>
      <c r="D132" s="106">
        <v>340</v>
      </c>
      <c r="E132" s="106">
        <v>300</v>
      </c>
      <c r="F132" s="106">
        <v>325</v>
      </c>
      <c r="G132" s="106">
        <v>325</v>
      </c>
      <c r="H132" s="106">
        <v>325</v>
      </c>
      <c r="I132" s="68">
        <v>90.8</v>
      </c>
      <c r="J132" s="74">
        <f t="shared" si="55"/>
        <v>5230.08</v>
      </c>
      <c r="K132" s="74">
        <f t="shared" si="56"/>
        <v>30872</v>
      </c>
      <c r="L132" s="74">
        <f t="shared" si="57"/>
        <v>27240</v>
      </c>
      <c r="M132" s="74">
        <f t="shared" si="58"/>
        <v>29510</v>
      </c>
      <c r="N132" s="74">
        <f t="shared" si="59"/>
        <v>29510</v>
      </c>
      <c r="O132" s="74">
        <f t="shared" si="60"/>
        <v>29510</v>
      </c>
      <c r="P132" s="78"/>
      <c r="Q132" s="78"/>
      <c r="R132" s="78"/>
      <c r="S132" s="78"/>
      <c r="T132" s="78"/>
    </row>
    <row r="133" spans="1:20" ht="26.25">
      <c r="A133" s="334" t="s">
        <v>71</v>
      </c>
      <c r="B133" s="77" t="s">
        <v>23</v>
      </c>
      <c r="C133" s="335">
        <v>59</v>
      </c>
      <c r="D133" s="335">
        <v>22.7</v>
      </c>
      <c r="E133" s="335">
        <v>60</v>
      </c>
      <c r="F133" s="335">
        <v>60</v>
      </c>
      <c r="G133" s="335">
        <v>60</v>
      </c>
      <c r="H133" s="335">
        <v>60</v>
      </c>
      <c r="I133" s="336">
        <v>296.3</v>
      </c>
      <c r="J133" s="337">
        <f t="shared" si="55"/>
        <v>17481.7</v>
      </c>
      <c r="K133" s="337">
        <f t="shared" si="56"/>
        <v>6726.01</v>
      </c>
      <c r="L133" s="337">
        <f t="shared" si="57"/>
        <v>17778</v>
      </c>
      <c r="M133" s="337">
        <f t="shared" si="58"/>
        <v>17778</v>
      </c>
      <c r="N133" s="337">
        <f t="shared" si="59"/>
        <v>17778</v>
      </c>
      <c r="O133" s="337">
        <f t="shared" si="60"/>
        <v>17778</v>
      </c>
      <c r="P133" s="78"/>
      <c r="Q133" s="78"/>
      <c r="R133" s="78"/>
      <c r="S133" s="78"/>
      <c r="T133" s="78"/>
    </row>
    <row r="134" spans="1:20" ht="26.25">
      <c r="A134" s="338" t="s">
        <v>114</v>
      </c>
      <c r="B134" s="198" t="s">
        <v>73</v>
      </c>
      <c r="C134" s="198" t="s">
        <v>73</v>
      </c>
      <c r="D134" s="198" t="s">
        <v>73</v>
      </c>
      <c r="E134" s="198" t="s">
        <v>73</v>
      </c>
      <c r="F134" s="198" t="s">
        <v>73</v>
      </c>
      <c r="G134" s="198" t="s">
        <v>73</v>
      </c>
      <c r="H134" s="198" t="s">
        <v>73</v>
      </c>
      <c r="I134" s="198" t="s">
        <v>73</v>
      </c>
      <c r="J134" s="105">
        <f aca="true" t="shared" si="61" ref="J134:O134">J112+J113+J114+J115+J116+J117+J118+J119+J120+J121+J122+J123+J124+J125+J126+J127+J128+J129+J130+J131+J132+J133</f>
        <v>49322.6905</v>
      </c>
      <c r="K134" s="105">
        <f t="shared" si="61"/>
        <v>68489.181</v>
      </c>
      <c r="L134" s="105">
        <f t="shared" si="61"/>
        <v>73674.75</v>
      </c>
      <c r="M134" s="105">
        <f>M112+M113+M114+M115+M116+M117+M118+M119+M120+M121+M122+M123+M124+M125+M126+M127+M128+M129+M130+M131+M132+M133</f>
        <v>85042.818</v>
      </c>
      <c r="N134" s="105">
        <f>N112+N113+N114+N115+N116+N117+N118+N119+N120+N121+N122+N123+N124+N125+N126+N127+N128+N129+N130+N131+N132+N133</f>
        <v>84292.818</v>
      </c>
      <c r="O134" s="105">
        <f t="shared" si="61"/>
        <v>84292.818</v>
      </c>
      <c r="P134" s="271">
        <f>K134/J134*100</f>
        <v>138.85937751104635</v>
      </c>
      <c r="Q134" s="271">
        <f>L134/K134*100</f>
        <v>107.57136955689397</v>
      </c>
      <c r="R134" s="271">
        <f>M134/L134*100</f>
        <v>115.43007339692363</v>
      </c>
      <c r="S134" s="271">
        <f>N134/M134*100</f>
        <v>99.11809131254329</v>
      </c>
      <c r="T134" s="271">
        <f>O134/N134*100</f>
        <v>100</v>
      </c>
    </row>
    <row r="135" spans="1:20" ht="26.25">
      <c r="A135" s="339"/>
      <c r="B135" s="325"/>
      <c r="C135" s="325"/>
      <c r="D135" s="325"/>
      <c r="E135" s="325"/>
      <c r="F135" s="325"/>
      <c r="G135" s="325"/>
      <c r="H135" s="325"/>
      <c r="I135" s="325"/>
      <c r="J135" s="8"/>
      <c r="K135" s="8"/>
      <c r="L135" s="8"/>
      <c r="M135" s="8"/>
      <c r="N135" s="8"/>
      <c r="O135" s="8"/>
      <c r="P135" s="340"/>
      <c r="Q135" s="340"/>
      <c r="R135" s="340"/>
      <c r="S135" s="340"/>
      <c r="T135" s="340"/>
    </row>
    <row r="136" spans="1:20" ht="26.25">
      <c r="A136" s="328" t="s">
        <v>125</v>
      </c>
      <c r="B136" s="77"/>
      <c r="C136" s="77"/>
      <c r="D136" s="77"/>
      <c r="E136" s="77"/>
      <c r="F136" s="77"/>
      <c r="G136" s="77"/>
      <c r="H136" s="77"/>
      <c r="I136" s="77"/>
      <c r="J136" s="74"/>
      <c r="K136" s="74"/>
      <c r="L136" s="74"/>
      <c r="M136" s="74"/>
      <c r="N136" s="74"/>
      <c r="O136" s="74"/>
      <c r="P136" s="341"/>
      <c r="Q136" s="341"/>
      <c r="R136" s="341"/>
      <c r="S136" s="341"/>
      <c r="T136" s="341"/>
    </row>
    <row r="137" spans="1:20" ht="26.25">
      <c r="A137" s="73" t="s">
        <v>233</v>
      </c>
      <c r="B137" s="74" t="s">
        <v>22</v>
      </c>
      <c r="C137" s="74">
        <v>65.4</v>
      </c>
      <c r="D137" s="74">
        <v>42.5</v>
      </c>
      <c r="E137" s="74">
        <v>75</v>
      </c>
      <c r="F137" s="74">
        <v>80</v>
      </c>
      <c r="G137" s="74">
        <v>85</v>
      </c>
      <c r="H137" s="74">
        <v>90</v>
      </c>
      <c r="I137" s="8">
        <v>142.51</v>
      </c>
      <c r="J137" s="8">
        <f>I137*C137</f>
        <v>9320.154</v>
      </c>
      <c r="K137" s="8">
        <f>I137*D137</f>
        <v>6056.674999999999</v>
      </c>
      <c r="L137" s="8">
        <f>I137*E137</f>
        <v>10688.25</v>
      </c>
      <c r="M137" s="8">
        <f>I137*F137</f>
        <v>11400.8</v>
      </c>
      <c r="N137" s="8">
        <f>I137*G137</f>
        <v>12113.349999999999</v>
      </c>
      <c r="O137" s="8">
        <f>I137*H137</f>
        <v>12825.9</v>
      </c>
      <c r="P137" s="78"/>
      <c r="Q137" s="78"/>
      <c r="R137" s="78"/>
      <c r="S137" s="78"/>
      <c r="T137" s="78"/>
    </row>
    <row r="138" spans="1:20" ht="52.5">
      <c r="A138" s="333" t="s">
        <v>49</v>
      </c>
      <c r="B138" s="77" t="s">
        <v>22</v>
      </c>
      <c r="C138" s="107">
        <v>0.9</v>
      </c>
      <c r="D138" s="107">
        <v>0</v>
      </c>
      <c r="E138" s="107">
        <v>0.15</v>
      </c>
      <c r="F138" s="107">
        <v>0.3</v>
      </c>
      <c r="G138" s="107">
        <v>0.4</v>
      </c>
      <c r="H138" s="107">
        <v>0.4</v>
      </c>
      <c r="I138" s="266">
        <v>2716.41</v>
      </c>
      <c r="J138" s="287">
        <f>I138*C138</f>
        <v>2444.769</v>
      </c>
      <c r="K138" s="287">
        <f>I138*D138</f>
        <v>0</v>
      </c>
      <c r="L138" s="287">
        <f>I138*E138</f>
        <v>407.46149999999994</v>
      </c>
      <c r="M138" s="287">
        <f>I138*F138</f>
        <v>814.9229999999999</v>
      </c>
      <c r="N138" s="287">
        <f>I138*G138</f>
        <v>1086.564</v>
      </c>
      <c r="O138" s="287">
        <f>I138*H138</f>
        <v>1086.564</v>
      </c>
      <c r="P138" s="78"/>
      <c r="Q138" s="78"/>
      <c r="R138" s="78"/>
      <c r="S138" s="78"/>
      <c r="T138" s="78"/>
    </row>
    <row r="139" spans="1:20" ht="26.25">
      <c r="A139" s="333" t="s">
        <v>60</v>
      </c>
      <c r="B139" s="1" t="s">
        <v>22</v>
      </c>
      <c r="C139" s="106">
        <v>0.6</v>
      </c>
      <c r="D139" s="106">
        <v>0.8</v>
      </c>
      <c r="E139" s="106">
        <v>1.2</v>
      </c>
      <c r="F139" s="106">
        <v>1.4</v>
      </c>
      <c r="G139" s="106">
        <v>1.6</v>
      </c>
      <c r="H139" s="106">
        <v>1.8</v>
      </c>
      <c r="I139" s="266">
        <v>3293.29</v>
      </c>
      <c r="J139" s="287">
        <f>I139*C139</f>
        <v>1975.974</v>
      </c>
      <c r="K139" s="287">
        <f>I139*D139</f>
        <v>2634.632</v>
      </c>
      <c r="L139" s="287">
        <f>I139*E139</f>
        <v>3951.948</v>
      </c>
      <c r="M139" s="287">
        <f>I139*F139</f>
        <v>4610.606</v>
      </c>
      <c r="N139" s="287">
        <f>I139*G139</f>
        <v>5269.264</v>
      </c>
      <c r="O139" s="287">
        <f>I139*H139</f>
        <v>5927.9220000000005</v>
      </c>
      <c r="P139" s="78"/>
      <c r="Q139" s="78"/>
      <c r="R139" s="78"/>
      <c r="S139" s="78"/>
      <c r="T139" s="78"/>
    </row>
    <row r="140" spans="1:20" ht="26.25">
      <c r="A140" s="333" t="s">
        <v>61</v>
      </c>
      <c r="B140" s="1" t="s">
        <v>22</v>
      </c>
      <c r="C140" s="106">
        <v>0</v>
      </c>
      <c r="D140" s="106">
        <v>0</v>
      </c>
      <c r="E140" s="106">
        <v>1</v>
      </c>
      <c r="F140" s="106">
        <v>0</v>
      </c>
      <c r="G140" s="106">
        <v>1</v>
      </c>
      <c r="H140" s="106">
        <v>0</v>
      </c>
      <c r="I140" s="266">
        <v>1080.03</v>
      </c>
      <c r="J140" s="287">
        <f>I140*C140</f>
        <v>0</v>
      </c>
      <c r="K140" s="287">
        <f>I140*D140</f>
        <v>0</v>
      </c>
      <c r="L140" s="287">
        <f>I140*E140</f>
        <v>1080.03</v>
      </c>
      <c r="M140" s="287">
        <f>I140*F140</f>
        <v>0</v>
      </c>
      <c r="N140" s="287">
        <f>I140*G140</f>
        <v>1080.03</v>
      </c>
      <c r="O140" s="287">
        <f>I140*H140</f>
        <v>0</v>
      </c>
      <c r="P140" s="78"/>
      <c r="Q140" s="78"/>
      <c r="R140" s="78"/>
      <c r="S140" s="78"/>
      <c r="T140" s="78"/>
    </row>
    <row r="141" spans="1:20" ht="26.25">
      <c r="A141" s="342" t="s">
        <v>62</v>
      </c>
      <c r="B141" s="343" t="s">
        <v>22</v>
      </c>
      <c r="C141" s="106">
        <v>7.4</v>
      </c>
      <c r="D141" s="106">
        <v>8.6</v>
      </c>
      <c r="E141" s="295">
        <v>8.5</v>
      </c>
      <c r="F141" s="106">
        <v>9</v>
      </c>
      <c r="G141" s="106">
        <v>9.5</v>
      </c>
      <c r="H141" s="106">
        <v>10</v>
      </c>
      <c r="I141" s="266">
        <v>1081.05</v>
      </c>
      <c r="J141" s="287">
        <f>I141*C141</f>
        <v>7999.77</v>
      </c>
      <c r="K141" s="287">
        <f>I141*D141</f>
        <v>9297.029999999999</v>
      </c>
      <c r="L141" s="287">
        <f>I141*E141</f>
        <v>9188.925</v>
      </c>
      <c r="M141" s="287">
        <f>I141*F141</f>
        <v>9729.449999999999</v>
      </c>
      <c r="N141" s="287">
        <f>I141*G141</f>
        <v>10269.975</v>
      </c>
      <c r="O141" s="287">
        <f>I141*H141</f>
        <v>10810.5</v>
      </c>
      <c r="P141" s="78"/>
      <c r="Q141" s="78"/>
      <c r="R141" s="78"/>
      <c r="S141" s="78"/>
      <c r="T141" s="78"/>
    </row>
    <row r="142" spans="1:20" ht="26.25">
      <c r="A142" s="338" t="s">
        <v>114</v>
      </c>
      <c r="B142" s="198" t="s">
        <v>73</v>
      </c>
      <c r="C142" s="198" t="s">
        <v>73</v>
      </c>
      <c r="D142" s="198" t="s">
        <v>73</v>
      </c>
      <c r="E142" s="198" t="s">
        <v>73</v>
      </c>
      <c r="F142" s="198" t="s">
        <v>73</v>
      </c>
      <c r="G142" s="198" t="s">
        <v>73</v>
      </c>
      <c r="H142" s="198" t="s">
        <v>73</v>
      </c>
      <c r="I142" s="198" t="s">
        <v>73</v>
      </c>
      <c r="J142" s="344">
        <f aca="true" t="shared" si="62" ref="J142:O142">J137+J138+J139+J140+J141</f>
        <v>21740.667</v>
      </c>
      <c r="K142" s="344">
        <f t="shared" si="62"/>
        <v>17988.337</v>
      </c>
      <c r="L142" s="344">
        <f t="shared" si="62"/>
        <v>25316.6145</v>
      </c>
      <c r="M142" s="344">
        <f t="shared" si="62"/>
        <v>26555.778999999995</v>
      </c>
      <c r="N142" s="344">
        <f t="shared" si="62"/>
        <v>29819.182999999997</v>
      </c>
      <c r="O142" s="344">
        <f t="shared" si="62"/>
        <v>30650.886</v>
      </c>
      <c r="P142" s="271">
        <f>K142/J142*100</f>
        <v>82.74050193584216</v>
      </c>
      <c r="Q142" s="271">
        <f>L142/K142*100</f>
        <v>140.73904941852047</v>
      </c>
      <c r="R142" s="271">
        <f>M142/L142*100</f>
        <v>104.89466907196456</v>
      </c>
      <c r="S142" s="271">
        <f>N142/M142*100</f>
        <v>112.28886563636489</v>
      </c>
      <c r="T142" s="271">
        <f>O142/N142*100</f>
        <v>102.78915421659944</v>
      </c>
    </row>
    <row r="143" spans="1:20" ht="26.25">
      <c r="A143" s="339"/>
      <c r="B143" s="325"/>
      <c r="C143" s="325"/>
      <c r="D143" s="325"/>
      <c r="E143" s="325"/>
      <c r="F143" s="325"/>
      <c r="G143" s="325"/>
      <c r="H143" s="325"/>
      <c r="I143" s="325"/>
      <c r="J143" s="326"/>
      <c r="K143" s="326"/>
      <c r="L143" s="326"/>
      <c r="M143" s="326"/>
      <c r="N143" s="326"/>
      <c r="O143" s="326"/>
      <c r="P143" s="345"/>
      <c r="Q143" s="345"/>
      <c r="R143" s="345"/>
      <c r="S143" s="345"/>
      <c r="T143" s="345"/>
    </row>
    <row r="144" spans="1:20" ht="26.25">
      <c r="A144" s="339" t="s">
        <v>113</v>
      </c>
      <c r="B144" s="325"/>
      <c r="C144" s="325"/>
      <c r="D144" s="325"/>
      <c r="E144" s="325"/>
      <c r="F144" s="325"/>
      <c r="G144" s="325"/>
      <c r="H144" s="325"/>
      <c r="I144" s="325"/>
      <c r="J144" s="326"/>
      <c r="K144" s="326"/>
      <c r="L144" s="326"/>
      <c r="M144" s="326"/>
      <c r="N144" s="326"/>
      <c r="O144" s="326"/>
      <c r="P144" s="345"/>
      <c r="Q144" s="345"/>
      <c r="R144" s="345"/>
      <c r="S144" s="345"/>
      <c r="T144" s="345"/>
    </row>
    <row r="145" spans="1:20" ht="26.25">
      <c r="A145" s="272" t="s">
        <v>28</v>
      </c>
      <c r="B145" s="107" t="s">
        <v>23</v>
      </c>
      <c r="C145" s="106">
        <v>473</v>
      </c>
      <c r="D145" s="106">
        <v>396</v>
      </c>
      <c r="E145" s="106">
        <v>461</v>
      </c>
      <c r="F145" s="106">
        <v>461</v>
      </c>
      <c r="G145" s="106">
        <v>461</v>
      </c>
      <c r="H145" s="106">
        <v>461</v>
      </c>
      <c r="I145" s="266">
        <v>67.05</v>
      </c>
      <c r="J145" s="287">
        <f>I145*C145</f>
        <v>31714.649999999998</v>
      </c>
      <c r="K145" s="287">
        <f>I145*D145</f>
        <v>26551.8</v>
      </c>
      <c r="L145" s="287">
        <f>I145*E145</f>
        <v>30910.05</v>
      </c>
      <c r="M145" s="287">
        <f>I145*F145</f>
        <v>30910.05</v>
      </c>
      <c r="N145" s="287">
        <f>I145*G145</f>
        <v>30910.05</v>
      </c>
      <c r="O145" s="287">
        <f>I145*H145</f>
        <v>30910.05</v>
      </c>
      <c r="P145" s="346"/>
      <c r="Q145" s="346"/>
      <c r="R145" s="346"/>
      <c r="S145" s="346"/>
      <c r="T145" s="346"/>
    </row>
    <row r="146" spans="1:20" ht="26.25">
      <c r="A146" s="272" t="s">
        <v>29</v>
      </c>
      <c r="B146" s="107" t="s">
        <v>23</v>
      </c>
      <c r="C146" s="106">
        <v>12.6</v>
      </c>
      <c r="D146" s="106">
        <v>0</v>
      </c>
      <c r="E146" s="106">
        <v>0</v>
      </c>
      <c r="F146" s="106">
        <v>0</v>
      </c>
      <c r="G146" s="106">
        <v>0</v>
      </c>
      <c r="H146" s="106">
        <v>0</v>
      </c>
      <c r="I146" s="266">
        <v>42.4</v>
      </c>
      <c r="J146" s="287">
        <f>I146*C146</f>
        <v>534.24</v>
      </c>
      <c r="K146" s="287">
        <f>I146*D146</f>
        <v>0</v>
      </c>
      <c r="L146" s="287">
        <f>I146*E146</f>
        <v>0</v>
      </c>
      <c r="M146" s="287">
        <f>I146*F146</f>
        <v>0</v>
      </c>
      <c r="N146" s="287">
        <f>I146*G146</f>
        <v>0</v>
      </c>
      <c r="O146" s="287">
        <f>I146*H146</f>
        <v>0</v>
      </c>
      <c r="P146" s="346"/>
      <c r="Q146" s="346"/>
      <c r="R146" s="346"/>
      <c r="S146" s="346"/>
      <c r="T146" s="346"/>
    </row>
    <row r="147" spans="1:20" ht="26.25">
      <c r="A147" s="291" t="s">
        <v>130</v>
      </c>
      <c r="B147" s="107" t="s">
        <v>23</v>
      </c>
      <c r="C147" s="106">
        <v>25747.3</v>
      </c>
      <c r="D147" s="106">
        <v>27337.9</v>
      </c>
      <c r="E147" s="106">
        <v>31695.7</v>
      </c>
      <c r="F147" s="106">
        <v>31695.7</v>
      </c>
      <c r="G147" s="106">
        <v>31696</v>
      </c>
      <c r="H147" s="106">
        <v>31696</v>
      </c>
      <c r="I147" s="266">
        <v>1500</v>
      </c>
      <c r="J147" s="314">
        <f>I147*C147</f>
        <v>38620950</v>
      </c>
      <c r="K147" s="314">
        <f>I147*D147</f>
        <v>41006850</v>
      </c>
      <c r="L147" s="314">
        <f>I147*E147</f>
        <v>47543550</v>
      </c>
      <c r="M147" s="314">
        <f>I147*F147</f>
        <v>47543550</v>
      </c>
      <c r="N147" s="314">
        <f>I147*G147</f>
        <v>47544000</v>
      </c>
      <c r="O147" s="314">
        <f>I147*H147</f>
        <v>47544000</v>
      </c>
      <c r="P147" s="346"/>
      <c r="Q147" s="346"/>
      <c r="R147" s="346"/>
      <c r="S147" s="346"/>
      <c r="T147" s="346"/>
    </row>
    <row r="148" spans="1:20" ht="26.25" hidden="1">
      <c r="A148" s="347" t="s">
        <v>72</v>
      </c>
      <c r="B148" s="348" t="s">
        <v>50</v>
      </c>
      <c r="C148" s="335">
        <v>20892</v>
      </c>
      <c r="D148" s="335"/>
      <c r="E148" s="335"/>
      <c r="F148" s="335"/>
      <c r="G148" s="335"/>
      <c r="H148" s="335"/>
      <c r="I148" s="304">
        <v>90.8</v>
      </c>
      <c r="J148" s="349">
        <f>I148*C148</f>
        <v>1896993.5999999999</v>
      </c>
      <c r="K148" s="349">
        <f>I148*D148</f>
        <v>0</v>
      </c>
      <c r="L148" s="349">
        <f>I148*E148</f>
        <v>0</v>
      </c>
      <c r="M148" s="349">
        <f>I148*F148</f>
        <v>0</v>
      </c>
      <c r="N148" s="349">
        <f>I148*G148</f>
        <v>0</v>
      </c>
      <c r="O148" s="349">
        <f>I148*H148</f>
        <v>0</v>
      </c>
      <c r="P148" s="350"/>
      <c r="Q148" s="350"/>
      <c r="R148" s="350"/>
      <c r="S148" s="350"/>
      <c r="T148" s="350"/>
    </row>
    <row r="149" spans="1:20" ht="26.25">
      <c r="A149" s="351" t="s">
        <v>114</v>
      </c>
      <c r="B149" s="306" t="s">
        <v>73</v>
      </c>
      <c r="C149" s="306" t="s">
        <v>73</v>
      </c>
      <c r="D149" s="306" t="s">
        <v>73</v>
      </c>
      <c r="E149" s="306" t="s">
        <v>73</v>
      </c>
      <c r="F149" s="306" t="s">
        <v>73</v>
      </c>
      <c r="G149" s="306" t="s">
        <v>73</v>
      </c>
      <c r="H149" s="306" t="s">
        <v>73</v>
      </c>
      <c r="I149" s="306" t="s">
        <v>73</v>
      </c>
      <c r="J149" s="352">
        <f aca="true" t="shared" si="63" ref="J149:O149">J145+J146+J147</f>
        <v>38653198.89</v>
      </c>
      <c r="K149" s="352">
        <f t="shared" si="63"/>
        <v>41033401.8</v>
      </c>
      <c r="L149" s="352">
        <f t="shared" si="63"/>
        <v>47574460.05</v>
      </c>
      <c r="M149" s="352">
        <f t="shared" si="63"/>
        <v>47574460.05</v>
      </c>
      <c r="N149" s="352">
        <f t="shared" si="63"/>
        <v>47574910.05</v>
      </c>
      <c r="O149" s="352">
        <f t="shared" si="63"/>
        <v>47574910.05</v>
      </c>
      <c r="P149" s="322">
        <f>K149/J149*100</f>
        <v>106.157841985533</v>
      </c>
      <c r="Q149" s="322">
        <f>L149/K149*100</f>
        <v>115.94081397852808</v>
      </c>
      <c r="R149" s="322">
        <f>M149/L149*100</f>
        <v>100</v>
      </c>
      <c r="S149" s="322">
        <f>N149/M149*100</f>
        <v>100.0009458856696</v>
      </c>
      <c r="T149" s="322">
        <f>O149/N149*100</f>
        <v>100</v>
      </c>
    </row>
    <row r="150" spans="1:20" ht="26.25">
      <c r="A150" s="67"/>
      <c r="B150" s="8"/>
      <c r="C150" s="8"/>
      <c r="D150" s="8"/>
      <c r="E150" s="8"/>
      <c r="F150" s="8"/>
      <c r="G150" s="8"/>
      <c r="H150" s="8"/>
      <c r="I150" s="24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</row>
    <row r="151" spans="1:20" ht="26.25">
      <c r="A151" s="384"/>
      <c r="B151" s="385"/>
      <c r="C151" s="385"/>
      <c r="D151" s="385"/>
      <c r="E151" s="385"/>
      <c r="F151" s="385"/>
      <c r="G151" s="385"/>
      <c r="H151" s="385"/>
      <c r="I151" s="385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</row>
    <row r="152" spans="1:20" ht="26.25">
      <c r="A152" s="11"/>
      <c r="B152" s="20"/>
      <c r="C152" s="12"/>
      <c r="D152" s="12"/>
      <c r="E152" s="12"/>
      <c r="F152" s="12"/>
      <c r="G152" s="12"/>
      <c r="H152" s="12"/>
      <c r="I152" s="25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</row>
    <row r="153" spans="1:20" ht="57.75" customHeight="1">
      <c r="A153" s="386"/>
      <c r="B153" s="386"/>
      <c r="C153" s="386"/>
      <c r="D153" s="386"/>
      <c r="E153" s="386"/>
      <c r="F153" s="386"/>
      <c r="G153" s="386"/>
      <c r="H153" s="386"/>
      <c r="I153" s="386"/>
      <c r="J153" s="386"/>
      <c r="K153" s="386"/>
      <c r="L153" s="386"/>
      <c r="M153" s="386"/>
      <c r="N153" s="386"/>
      <c r="O153" s="386"/>
      <c r="P153" s="386"/>
      <c r="Q153" s="386"/>
      <c r="R153" s="386"/>
      <c r="S153" s="386"/>
      <c r="T153" s="386"/>
    </row>
    <row r="154" spans="1:20" ht="20.25">
      <c r="A154" s="10"/>
      <c r="B154" s="21"/>
      <c r="C154" s="5"/>
      <c r="D154" s="5"/>
      <c r="E154" s="5"/>
      <c r="F154" s="5"/>
      <c r="G154" s="5"/>
      <c r="H154" s="5"/>
      <c r="I154" s="2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</row>
    <row r="155" spans="1:20" ht="20.25">
      <c r="A155" s="5"/>
      <c r="B155" s="21"/>
      <c r="C155" s="5"/>
      <c r="D155" s="5"/>
      <c r="E155" s="5"/>
      <c r="F155" s="5"/>
      <c r="G155" s="5"/>
      <c r="H155" s="5"/>
      <c r="I155" s="2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</row>
    <row r="156" spans="1:20" ht="20.25">
      <c r="A156" s="5"/>
      <c r="B156" s="21"/>
      <c r="C156" s="5"/>
      <c r="D156" s="5"/>
      <c r="E156" s="5"/>
      <c r="F156" s="5"/>
      <c r="G156" s="5"/>
      <c r="H156" s="5"/>
      <c r="I156" s="2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</row>
    <row r="157" spans="1:20" ht="20.25">
      <c r="A157" s="5"/>
      <c r="B157" s="21"/>
      <c r="C157" s="5"/>
      <c r="D157" s="5"/>
      <c r="E157" s="5"/>
      <c r="F157" s="5"/>
      <c r="G157" s="5"/>
      <c r="H157" s="5"/>
      <c r="I157" s="2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</row>
    <row r="158" spans="1:20" ht="20.25">
      <c r="A158" s="5"/>
      <c r="B158" s="21"/>
      <c r="C158" s="5"/>
      <c r="D158" s="5"/>
      <c r="E158" s="5"/>
      <c r="F158" s="5"/>
      <c r="G158" s="5"/>
      <c r="H158" s="5"/>
      <c r="I158" s="2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</row>
    <row r="159" spans="1:20" ht="20.25">
      <c r="A159" s="5"/>
      <c r="B159" s="21"/>
      <c r="C159" s="5"/>
      <c r="D159" s="5"/>
      <c r="E159" s="5"/>
      <c r="F159" s="5"/>
      <c r="G159" s="5"/>
      <c r="H159" s="5"/>
      <c r="I159" s="2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</row>
    <row r="160" spans="1:20" ht="20.25">
      <c r="A160" s="5"/>
      <c r="B160" s="21"/>
      <c r="C160" s="5"/>
      <c r="D160" s="5"/>
      <c r="E160" s="5"/>
      <c r="F160" s="5"/>
      <c r="G160" s="5"/>
      <c r="H160" s="5"/>
      <c r="I160" s="2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</row>
    <row r="161" spans="1:20" ht="20.25">
      <c r="A161" s="5"/>
      <c r="B161" s="21"/>
      <c r="C161" s="5"/>
      <c r="D161" s="5"/>
      <c r="E161" s="5"/>
      <c r="F161" s="5"/>
      <c r="G161" s="5"/>
      <c r="H161" s="5"/>
      <c r="I161" s="2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</row>
    <row r="162" spans="1:9" ht="12.75">
      <c r="A162" s="7"/>
      <c r="B162" s="22"/>
      <c r="C162" s="7"/>
      <c r="D162" s="7"/>
      <c r="E162" s="7"/>
      <c r="F162" s="7"/>
      <c r="G162" s="7"/>
      <c r="H162" s="7"/>
      <c r="I162" s="27"/>
    </row>
    <row r="163" spans="1:9" ht="12.75">
      <c r="A163" s="7"/>
      <c r="B163" s="22"/>
      <c r="C163" s="7"/>
      <c r="D163" s="7"/>
      <c r="E163" s="7"/>
      <c r="F163" s="7"/>
      <c r="G163" s="7"/>
      <c r="H163" s="7"/>
      <c r="I163" s="27"/>
    </row>
    <row r="164" spans="1:9" ht="12.75">
      <c r="A164" s="7"/>
      <c r="B164" s="22"/>
      <c r="C164" s="7"/>
      <c r="D164" s="7"/>
      <c r="E164" s="7"/>
      <c r="F164" s="7"/>
      <c r="G164" s="7"/>
      <c r="H164" s="7"/>
      <c r="I164" s="27"/>
    </row>
    <row r="165" spans="1:9" ht="12.75">
      <c r="A165" s="7"/>
      <c r="B165" s="22"/>
      <c r="C165" s="7"/>
      <c r="D165" s="7"/>
      <c r="E165" s="7"/>
      <c r="F165" s="7"/>
      <c r="G165" s="7"/>
      <c r="H165" s="7"/>
      <c r="I165" s="27"/>
    </row>
    <row r="166" spans="1:9" ht="12.75">
      <c r="A166" s="7"/>
      <c r="B166" s="22"/>
      <c r="C166" s="7"/>
      <c r="D166" s="7"/>
      <c r="E166" s="7"/>
      <c r="F166" s="7"/>
      <c r="G166" s="7"/>
      <c r="H166" s="7"/>
      <c r="I166" s="27"/>
    </row>
    <row r="167" spans="1:9" ht="12.75">
      <c r="A167" s="7"/>
      <c r="B167" s="22"/>
      <c r="C167" s="7"/>
      <c r="D167" s="7"/>
      <c r="E167" s="7"/>
      <c r="F167" s="7"/>
      <c r="G167" s="7"/>
      <c r="H167" s="7"/>
      <c r="I167" s="27"/>
    </row>
    <row r="168" spans="1:9" ht="12.75">
      <c r="A168" s="7"/>
      <c r="B168" s="22"/>
      <c r="C168" s="7"/>
      <c r="D168" s="7"/>
      <c r="E168" s="7"/>
      <c r="F168" s="7"/>
      <c r="G168" s="7"/>
      <c r="H168" s="7"/>
      <c r="I168" s="27"/>
    </row>
  </sheetData>
  <mergeCells count="15">
    <mergeCell ref="O1:T1"/>
    <mergeCell ref="A2:T2"/>
    <mergeCell ref="A4:A5"/>
    <mergeCell ref="B4:H4"/>
    <mergeCell ref="I4:I5"/>
    <mergeCell ref="J4:O4"/>
    <mergeCell ref="P4:T4"/>
    <mergeCell ref="A7:T7"/>
    <mergeCell ref="A8:T8"/>
    <mergeCell ref="A13:T13"/>
    <mergeCell ref="A88:T88"/>
    <mergeCell ref="A94:T94"/>
    <mergeCell ref="A98:T98"/>
    <mergeCell ref="A151:I151"/>
    <mergeCell ref="A153:T153"/>
  </mergeCells>
  <printOptions/>
  <pageMargins left="0.75" right="0.75" top="1" bottom="1" header="0.5" footer="0.5"/>
  <pageSetup horizontalDpi="600" verticalDpi="600" orientation="landscape" paperSize="9" scale="3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77"/>
  <sheetViews>
    <sheetView view="pageBreakPreview" zoomScale="60" workbookViewId="0" topLeftCell="A53">
      <selection activeCell="A62" sqref="A1:IV16384"/>
    </sheetView>
  </sheetViews>
  <sheetFormatPr defaultColWidth="9.00390625" defaultRowHeight="12.75"/>
  <cols>
    <col min="1" max="1" width="42.75390625" style="52" customWidth="1"/>
    <col min="2" max="2" width="11.125" style="52" customWidth="1"/>
    <col min="3" max="5" width="14.75390625" style="33" customWidth="1"/>
    <col min="6" max="6" width="15.75390625" style="33" customWidth="1"/>
    <col min="7" max="7" width="14.00390625" style="33" customWidth="1"/>
    <col min="8" max="8" width="13.375" style="33" customWidth="1"/>
    <col min="9" max="9" width="13.625" style="33" customWidth="1"/>
    <col min="10" max="10" width="14.75390625" style="33" customWidth="1"/>
    <col min="11" max="16384" width="9.125" style="33" customWidth="1"/>
  </cols>
  <sheetData>
    <row r="1" spans="1:10" ht="15.75">
      <c r="A1" s="31"/>
      <c r="B1" s="31"/>
      <c r="C1" s="32"/>
      <c r="D1" s="32"/>
      <c r="E1" s="32"/>
      <c r="F1" s="434" t="s">
        <v>280</v>
      </c>
      <c r="G1" s="434"/>
      <c r="H1" s="434"/>
      <c r="I1" s="434"/>
      <c r="J1" s="434"/>
    </row>
    <row r="2" spans="1:10" ht="24.75" customHeight="1">
      <c r="A2" s="403" t="s">
        <v>173</v>
      </c>
      <c r="B2" s="403"/>
      <c r="C2" s="403"/>
      <c r="D2" s="403"/>
      <c r="E2" s="403"/>
      <c r="F2" s="403"/>
      <c r="G2" s="403"/>
      <c r="H2" s="403"/>
      <c r="I2" s="403"/>
      <c r="J2" s="403"/>
    </row>
    <row r="3" spans="1:10" ht="14.25" customHeight="1">
      <c r="A3" s="435" t="s">
        <v>263</v>
      </c>
      <c r="B3" s="435"/>
      <c r="C3" s="435"/>
      <c r="D3" s="435"/>
      <c r="E3" s="435"/>
      <c r="F3" s="435"/>
      <c r="G3" s="435"/>
      <c r="H3" s="435"/>
      <c r="I3" s="435"/>
      <c r="J3" s="435"/>
    </row>
    <row r="4" spans="1:8" ht="14.25" customHeight="1">
      <c r="A4" s="34"/>
      <c r="B4" s="34"/>
      <c r="C4" s="403" t="s">
        <v>228</v>
      </c>
      <c r="D4" s="403"/>
      <c r="E4" s="403"/>
      <c r="F4" s="403"/>
      <c r="G4" s="34"/>
      <c r="H4" s="34"/>
    </row>
    <row r="5" spans="1:10" ht="7.5" customHeight="1">
      <c r="A5" s="436" t="s">
        <v>264</v>
      </c>
      <c r="B5" s="436"/>
      <c r="C5" s="436"/>
      <c r="D5" s="436"/>
      <c r="E5" s="436"/>
      <c r="F5" s="436"/>
      <c r="G5" s="436"/>
      <c r="H5" s="436"/>
      <c r="I5" s="436"/>
      <c r="J5" s="436"/>
    </row>
    <row r="6" spans="1:10" ht="15.75">
      <c r="A6" s="435" t="s">
        <v>174</v>
      </c>
      <c r="B6" s="435"/>
      <c r="C6" s="435"/>
      <c r="D6" s="435"/>
      <c r="E6" s="435"/>
      <c r="F6" s="435"/>
      <c r="G6" s="435"/>
      <c r="H6" s="435"/>
      <c r="I6" s="435"/>
      <c r="J6" s="435"/>
    </row>
    <row r="7" spans="1:8" ht="13.5" thickBot="1">
      <c r="A7" s="437"/>
      <c r="B7" s="437"/>
      <c r="C7" s="437"/>
      <c r="D7" s="437"/>
      <c r="E7" s="437"/>
      <c r="F7" s="437"/>
      <c r="G7" s="437"/>
      <c r="H7" s="437"/>
    </row>
    <row r="8" spans="1:9" ht="18.75" customHeight="1">
      <c r="A8" s="438" t="s">
        <v>175</v>
      </c>
      <c r="B8" s="430" t="s">
        <v>176</v>
      </c>
      <c r="C8" s="417" t="s">
        <v>265</v>
      </c>
      <c r="D8" s="417" t="s">
        <v>342</v>
      </c>
      <c r="E8" s="417" t="s">
        <v>343</v>
      </c>
      <c r="F8" s="420" t="s">
        <v>177</v>
      </c>
      <c r="G8" s="413"/>
      <c r="H8" s="413"/>
      <c r="I8" s="414"/>
    </row>
    <row r="9" spans="1:9" ht="18.75" customHeight="1">
      <c r="A9" s="439"/>
      <c r="B9" s="418"/>
      <c r="C9" s="418"/>
      <c r="D9" s="418"/>
      <c r="E9" s="418"/>
      <c r="F9" s="421">
        <v>2015</v>
      </c>
      <c r="G9" s="422"/>
      <c r="H9" s="423" t="s">
        <v>241</v>
      </c>
      <c r="I9" s="424" t="s">
        <v>330</v>
      </c>
    </row>
    <row r="10" spans="1:9" ht="16.5" customHeight="1">
      <c r="A10" s="439"/>
      <c r="B10" s="418"/>
      <c r="C10" s="419"/>
      <c r="D10" s="419"/>
      <c r="E10" s="419"/>
      <c r="F10" s="204" t="s">
        <v>79</v>
      </c>
      <c r="G10" s="229" t="s">
        <v>2</v>
      </c>
      <c r="H10" s="411"/>
      <c r="I10" s="409"/>
    </row>
    <row r="11" spans="1:9" ht="31.5" customHeight="1">
      <c r="A11" s="145" t="s">
        <v>178</v>
      </c>
      <c r="B11" s="53" t="s">
        <v>12</v>
      </c>
      <c r="C11" s="54"/>
      <c r="D11" s="54"/>
      <c r="E11" s="54"/>
      <c r="F11" s="54"/>
      <c r="G11" s="54"/>
      <c r="H11" s="54"/>
      <c r="I11" s="54"/>
    </row>
    <row r="12" spans="1:9" ht="21.75" customHeight="1">
      <c r="A12" s="59" t="s">
        <v>266</v>
      </c>
      <c r="B12" s="53" t="s">
        <v>12</v>
      </c>
      <c r="C12" s="54">
        <v>97.5</v>
      </c>
      <c r="D12" s="54">
        <v>100</v>
      </c>
      <c r="E12" s="54">
        <v>100</v>
      </c>
      <c r="F12" s="54">
        <v>100</v>
      </c>
      <c r="G12" s="54">
        <v>100</v>
      </c>
      <c r="H12" s="54">
        <v>100</v>
      </c>
      <c r="I12" s="54">
        <v>100</v>
      </c>
    </row>
    <row r="13" spans="1:9" ht="20.25" customHeight="1">
      <c r="A13" s="59" t="s">
        <v>267</v>
      </c>
      <c r="B13" s="53" t="s">
        <v>12</v>
      </c>
      <c r="C13" s="54">
        <v>100</v>
      </c>
      <c r="D13" s="54">
        <v>100</v>
      </c>
      <c r="E13" s="54">
        <v>100</v>
      </c>
      <c r="F13" s="54">
        <v>100</v>
      </c>
      <c r="G13" s="54">
        <v>100</v>
      </c>
      <c r="H13" s="54">
        <v>100</v>
      </c>
      <c r="I13" s="54">
        <v>100</v>
      </c>
    </row>
    <row r="14" spans="1:9" ht="20.25" customHeight="1">
      <c r="A14" s="59" t="s">
        <v>268</v>
      </c>
      <c r="B14" s="53" t="s">
        <v>12</v>
      </c>
      <c r="C14" s="54">
        <v>97.7</v>
      </c>
      <c r="D14" s="54">
        <v>96.5</v>
      </c>
      <c r="E14" s="54">
        <v>95</v>
      </c>
      <c r="F14" s="54">
        <v>95</v>
      </c>
      <c r="G14" s="54">
        <v>95</v>
      </c>
      <c r="H14" s="54">
        <v>95</v>
      </c>
      <c r="I14" s="54">
        <v>95</v>
      </c>
    </row>
    <row r="15" spans="1:9" ht="33" customHeight="1">
      <c r="A15" s="145" t="s">
        <v>179</v>
      </c>
      <c r="B15" s="53" t="s">
        <v>12</v>
      </c>
      <c r="C15" s="54">
        <v>61</v>
      </c>
      <c r="D15" s="54">
        <v>56</v>
      </c>
      <c r="E15" s="54">
        <v>54</v>
      </c>
      <c r="F15" s="54">
        <v>60</v>
      </c>
      <c r="G15" s="54">
        <v>60</v>
      </c>
      <c r="H15" s="54">
        <v>67</v>
      </c>
      <c r="I15" s="54">
        <v>73</v>
      </c>
    </row>
    <row r="16" spans="1:9" ht="30.75" customHeight="1">
      <c r="A16" s="145" t="s">
        <v>180</v>
      </c>
      <c r="B16" s="53" t="s">
        <v>181</v>
      </c>
      <c r="C16" s="55">
        <v>4255398</v>
      </c>
      <c r="D16" s="55">
        <v>4143107</v>
      </c>
      <c r="E16" s="55">
        <v>4593668</v>
      </c>
      <c r="F16" s="55">
        <v>4064988</v>
      </c>
      <c r="G16" s="55">
        <v>4064988</v>
      </c>
      <c r="H16" s="55">
        <v>3430066</v>
      </c>
      <c r="I16" s="55">
        <v>2785659</v>
      </c>
    </row>
    <row r="17" spans="1:9" ht="21" customHeight="1">
      <c r="A17" s="145" t="s">
        <v>182</v>
      </c>
      <c r="B17" s="53" t="s">
        <v>181</v>
      </c>
      <c r="C17" s="240">
        <f aca="true" t="shared" si="0" ref="C17:I17">C19+C23</f>
        <v>463972</v>
      </c>
      <c r="D17" s="240">
        <f t="shared" si="0"/>
        <v>693700</v>
      </c>
      <c r="E17" s="240">
        <f t="shared" si="0"/>
        <v>949966</v>
      </c>
      <c r="F17" s="240">
        <f t="shared" si="0"/>
        <v>191600</v>
      </c>
      <c r="G17" s="240">
        <f t="shared" si="0"/>
        <v>191600</v>
      </c>
      <c r="H17" s="240">
        <f t="shared" si="0"/>
        <v>143700</v>
      </c>
      <c r="I17" s="240">
        <f t="shared" si="0"/>
        <v>151316</v>
      </c>
    </row>
    <row r="18" spans="1:9" ht="21" customHeight="1">
      <c r="A18" s="146" t="s">
        <v>15</v>
      </c>
      <c r="B18" s="53"/>
      <c r="C18" s="64"/>
      <c r="D18" s="64"/>
      <c r="E18" s="64"/>
      <c r="F18" s="64"/>
      <c r="G18" s="64"/>
      <c r="H18" s="64"/>
      <c r="I18" s="64"/>
    </row>
    <row r="19" spans="1:9" ht="21.75" customHeight="1">
      <c r="A19" s="146" t="s">
        <v>209</v>
      </c>
      <c r="B19" s="53" t="s">
        <v>181</v>
      </c>
      <c r="C19" s="55">
        <v>280992</v>
      </c>
      <c r="D19" s="55">
        <v>489700</v>
      </c>
      <c r="E19" s="55">
        <v>689166</v>
      </c>
      <c r="F19" s="55">
        <v>191600</v>
      </c>
      <c r="G19" s="55">
        <v>191600</v>
      </c>
      <c r="H19" s="55">
        <v>143700</v>
      </c>
      <c r="I19" s="55">
        <v>151316</v>
      </c>
    </row>
    <row r="20" spans="1:9" ht="21.75" customHeight="1">
      <c r="A20" s="146" t="s">
        <v>210</v>
      </c>
      <c r="B20" s="53" t="s">
        <v>181</v>
      </c>
      <c r="C20" s="64"/>
      <c r="D20" s="64"/>
      <c r="E20" s="64"/>
      <c r="F20" s="64"/>
      <c r="G20" s="64"/>
      <c r="H20" s="64"/>
      <c r="I20" s="64"/>
    </row>
    <row r="21" spans="1:9" ht="21" customHeight="1">
      <c r="A21" s="146" t="s">
        <v>211</v>
      </c>
      <c r="B21" s="53" t="s">
        <v>181</v>
      </c>
      <c r="C21" s="64"/>
      <c r="D21" s="64"/>
      <c r="E21" s="64"/>
      <c r="F21" s="64"/>
      <c r="G21" s="64"/>
      <c r="H21" s="64"/>
      <c r="I21" s="64"/>
    </row>
    <row r="22" spans="1:9" ht="23.25" customHeight="1">
      <c r="A22" s="146" t="s">
        <v>212</v>
      </c>
      <c r="B22" s="53" t="s">
        <v>181</v>
      </c>
      <c r="C22" s="64"/>
      <c r="D22" s="64"/>
      <c r="E22" s="64"/>
      <c r="F22" s="64"/>
      <c r="G22" s="64"/>
      <c r="H22" s="64"/>
      <c r="I22" s="64"/>
    </row>
    <row r="23" spans="1:9" ht="21.75" customHeight="1">
      <c r="A23" s="146" t="s">
        <v>213</v>
      </c>
      <c r="B23" s="53" t="s">
        <v>181</v>
      </c>
      <c r="C23" s="55">
        <v>182980</v>
      </c>
      <c r="D23" s="55">
        <v>204000</v>
      </c>
      <c r="E23" s="55">
        <v>260800</v>
      </c>
      <c r="F23" s="242">
        <v>0</v>
      </c>
      <c r="G23" s="242">
        <v>0</v>
      </c>
      <c r="H23" s="242">
        <v>0</v>
      </c>
      <c r="I23" s="242">
        <v>0</v>
      </c>
    </row>
    <row r="24" spans="1:9" ht="20.25" customHeight="1">
      <c r="A24" s="146" t="s">
        <v>214</v>
      </c>
      <c r="B24" s="53" t="s">
        <v>181</v>
      </c>
      <c r="C24" s="64"/>
      <c r="D24" s="64"/>
      <c r="E24" s="64"/>
      <c r="F24" s="64"/>
      <c r="G24" s="64"/>
      <c r="H24" s="64"/>
      <c r="I24" s="64"/>
    </row>
    <row r="25" spans="1:9" ht="32.25" customHeight="1">
      <c r="A25" s="145" t="s">
        <v>183</v>
      </c>
      <c r="B25" s="53" t="s">
        <v>181</v>
      </c>
      <c r="C25" s="54">
        <v>10322547</v>
      </c>
      <c r="D25" s="54">
        <v>11130709</v>
      </c>
      <c r="E25" s="54">
        <v>10669546</v>
      </c>
      <c r="F25" s="54">
        <v>10252914</v>
      </c>
      <c r="G25" s="54">
        <v>10252914</v>
      </c>
      <c r="H25" s="54">
        <v>10523369</v>
      </c>
      <c r="I25" s="54">
        <v>10714429</v>
      </c>
    </row>
    <row r="26" spans="1:9" ht="35.25" customHeight="1">
      <c r="A26" s="59" t="s">
        <v>184</v>
      </c>
      <c r="B26" s="53" t="s">
        <v>12</v>
      </c>
      <c r="C26" s="54">
        <v>0.1</v>
      </c>
      <c r="D26" s="54">
        <v>0.1</v>
      </c>
      <c r="E26" s="54">
        <v>0.1</v>
      </c>
      <c r="F26" s="54">
        <v>0.1</v>
      </c>
      <c r="G26" s="54">
        <v>0.1</v>
      </c>
      <c r="H26" s="54">
        <v>0.1</v>
      </c>
      <c r="I26" s="54">
        <v>0.1</v>
      </c>
    </row>
    <row r="27" spans="1:9" ht="43.5" customHeight="1">
      <c r="A27" s="145" t="s">
        <v>186</v>
      </c>
      <c r="B27" s="53" t="s">
        <v>181</v>
      </c>
      <c r="C27" s="54">
        <v>8532218</v>
      </c>
      <c r="D27" s="54">
        <v>9414842</v>
      </c>
      <c r="E27" s="54">
        <v>9670214</v>
      </c>
      <c r="F27" s="54">
        <v>9757251</v>
      </c>
      <c r="G27" s="54">
        <v>9757251</v>
      </c>
      <c r="H27" s="54">
        <v>10139690</v>
      </c>
      <c r="I27" s="54">
        <v>10396905</v>
      </c>
    </row>
    <row r="28" spans="1:9" ht="34.5" customHeight="1">
      <c r="A28" s="145" t="s">
        <v>187</v>
      </c>
      <c r="B28" s="53" t="s">
        <v>13</v>
      </c>
      <c r="C28" s="241">
        <v>0.86</v>
      </c>
      <c r="D28" s="241">
        <v>0.87</v>
      </c>
      <c r="E28" s="241">
        <v>0.92</v>
      </c>
      <c r="F28" s="241">
        <v>0.96</v>
      </c>
      <c r="G28" s="241">
        <v>0.96</v>
      </c>
      <c r="H28" s="241">
        <v>0.97</v>
      </c>
      <c r="I28" s="241">
        <f>I27/I25</f>
        <v>0.9703648229877673</v>
      </c>
    </row>
    <row r="29" spans="1:9" ht="30.75" customHeight="1">
      <c r="A29" s="145" t="s">
        <v>188</v>
      </c>
      <c r="B29" s="53"/>
      <c r="C29" s="54"/>
      <c r="D29" s="54"/>
      <c r="E29" s="54"/>
      <c r="F29" s="54"/>
      <c r="G29" s="54"/>
      <c r="H29" s="54"/>
      <c r="I29" s="54"/>
    </row>
    <row r="30" spans="1:9" ht="15.75">
      <c r="A30" s="59" t="s">
        <v>189</v>
      </c>
      <c r="B30" s="53" t="s">
        <v>12</v>
      </c>
      <c r="C30" s="54">
        <v>10.2</v>
      </c>
      <c r="D30" s="54">
        <v>9.6</v>
      </c>
      <c r="E30" s="54">
        <v>10.7</v>
      </c>
      <c r="F30" s="54">
        <v>10.4</v>
      </c>
      <c r="G30" s="54">
        <v>10.4</v>
      </c>
      <c r="H30" s="54">
        <v>11.4</v>
      </c>
      <c r="I30" s="54">
        <v>12.3</v>
      </c>
    </row>
    <row r="31" spans="1:9" ht="15.75">
      <c r="A31" s="59" t="s">
        <v>190</v>
      </c>
      <c r="B31" s="53" t="s">
        <v>12</v>
      </c>
      <c r="C31" s="54">
        <v>6.9</v>
      </c>
      <c r="D31" s="54">
        <v>6.8</v>
      </c>
      <c r="E31" s="54">
        <v>7.5</v>
      </c>
      <c r="F31" s="54">
        <v>7.1</v>
      </c>
      <c r="G31" s="54">
        <v>7.1</v>
      </c>
      <c r="H31" s="54">
        <v>7.5</v>
      </c>
      <c r="I31" s="54">
        <v>7.9</v>
      </c>
    </row>
    <row r="32" spans="1:9" ht="15.75">
      <c r="A32" s="59" t="s">
        <v>191</v>
      </c>
      <c r="B32" s="53" t="s">
        <v>12</v>
      </c>
      <c r="C32" s="54">
        <v>6.1</v>
      </c>
      <c r="D32" s="54">
        <v>5.2</v>
      </c>
      <c r="E32" s="54">
        <v>5</v>
      </c>
      <c r="F32" s="54">
        <v>5.5</v>
      </c>
      <c r="G32" s="54">
        <v>5.5</v>
      </c>
      <c r="H32" s="54">
        <v>5.7</v>
      </c>
      <c r="I32" s="54">
        <v>6</v>
      </c>
    </row>
    <row r="33" spans="1:9" ht="15.75">
      <c r="A33" s="59" t="s">
        <v>192</v>
      </c>
      <c r="B33" s="53" t="s">
        <v>12</v>
      </c>
      <c r="C33" s="54">
        <v>0</v>
      </c>
      <c r="D33" s="54">
        <v>0</v>
      </c>
      <c r="E33" s="54">
        <v>0</v>
      </c>
      <c r="F33" s="54">
        <v>0</v>
      </c>
      <c r="G33" s="54">
        <v>0</v>
      </c>
      <c r="H33" s="54">
        <v>0</v>
      </c>
      <c r="I33" s="54">
        <v>0</v>
      </c>
    </row>
    <row r="34" spans="1:9" ht="34.5" customHeight="1">
      <c r="A34" s="145" t="s">
        <v>193</v>
      </c>
      <c r="B34" s="53"/>
      <c r="C34" s="54"/>
      <c r="D34" s="54"/>
      <c r="E34" s="54"/>
      <c r="F34" s="54"/>
      <c r="G34" s="54"/>
      <c r="H34" s="54"/>
      <c r="I34" s="54"/>
    </row>
    <row r="35" spans="1:9" ht="15.75">
      <c r="A35" s="147" t="s">
        <v>194</v>
      </c>
      <c r="B35" s="53" t="s">
        <v>181</v>
      </c>
      <c r="C35" s="53">
        <v>1344203</v>
      </c>
      <c r="D35" s="53">
        <v>1118792</v>
      </c>
      <c r="E35" s="53">
        <v>961613</v>
      </c>
      <c r="F35" s="53">
        <v>946719</v>
      </c>
      <c r="G35" s="53">
        <v>946719</v>
      </c>
      <c r="H35" s="53">
        <v>887198</v>
      </c>
      <c r="I35" s="53">
        <v>860944</v>
      </c>
    </row>
    <row r="36" spans="1:9" ht="15.75">
      <c r="A36" s="147" t="s">
        <v>195</v>
      </c>
      <c r="B36" s="53" t="s">
        <v>181</v>
      </c>
      <c r="C36" s="53">
        <v>1253572</v>
      </c>
      <c r="D36" s="53">
        <v>1102650</v>
      </c>
      <c r="E36" s="53">
        <v>975587</v>
      </c>
      <c r="F36" s="53">
        <v>899028</v>
      </c>
      <c r="G36" s="53">
        <v>899028</v>
      </c>
      <c r="H36" s="53">
        <v>895194</v>
      </c>
      <c r="I36" s="53">
        <v>866354</v>
      </c>
    </row>
    <row r="37" spans="1:9" ht="31.5">
      <c r="A37" s="59" t="s">
        <v>196</v>
      </c>
      <c r="B37" s="53" t="s">
        <v>181</v>
      </c>
      <c r="C37" s="53"/>
      <c r="D37" s="53"/>
      <c r="E37" s="53"/>
      <c r="F37" s="53"/>
      <c r="G37" s="53"/>
      <c r="H37" s="53"/>
      <c r="I37" s="53"/>
    </row>
    <row r="38" spans="1:9" ht="15.75">
      <c r="A38" s="147" t="s">
        <v>194</v>
      </c>
      <c r="B38" s="53" t="s">
        <v>181</v>
      </c>
      <c r="C38" s="53">
        <v>451383</v>
      </c>
      <c r="D38" s="53">
        <v>439394</v>
      </c>
      <c r="E38" s="53">
        <v>441891</v>
      </c>
      <c r="F38" s="53">
        <v>386672</v>
      </c>
      <c r="G38" s="53">
        <v>386672</v>
      </c>
      <c r="H38" s="53">
        <v>343652</v>
      </c>
      <c r="I38" s="53">
        <v>332309</v>
      </c>
    </row>
    <row r="39" spans="1:9" ht="15.75">
      <c r="A39" s="147" t="s">
        <v>195</v>
      </c>
      <c r="B39" s="53" t="s">
        <v>181</v>
      </c>
      <c r="C39" s="53">
        <v>444060</v>
      </c>
      <c r="D39" s="53">
        <v>489964</v>
      </c>
      <c r="E39" s="53">
        <v>372040</v>
      </c>
      <c r="F39" s="53">
        <v>372925</v>
      </c>
      <c r="G39" s="53">
        <v>372925</v>
      </c>
      <c r="H39" s="53">
        <v>348507</v>
      </c>
      <c r="I39" s="53">
        <v>334379</v>
      </c>
    </row>
    <row r="40" spans="1:9" ht="46.5" customHeight="1">
      <c r="A40" s="145" t="s">
        <v>197</v>
      </c>
      <c r="B40" s="53" t="s">
        <v>181</v>
      </c>
      <c r="C40" s="54">
        <v>141412</v>
      </c>
      <c r="D40" s="54">
        <v>225757</v>
      </c>
      <c r="E40" s="54">
        <v>129656</v>
      </c>
      <c r="F40" s="54">
        <v>177347</v>
      </c>
      <c r="G40" s="54">
        <v>177347</v>
      </c>
      <c r="H40" s="54">
        <v>169351</v>
      </c>
      <c r="I40" s="54">
        <v>163952</v>
      </c>
    </row>
    <row r="41" spans="1:9" ht="15.75">
      <c r="A41" s="59" t="s">
        <v>198</v>
      </c>
      <c r="B41" s="53"/>
      <c r="C41" s="54"/>
      <c r="D41" s="54"/>
      <c r="E41" s="54"/>
      <c r="F41" s="54"/>
      <c r="G41" s="54"/>
      <c r="H41" s="54"/>
      <c r="I41" s="54"/>
    </row>
    <row r="42" spans="1:9" ht="15.75">
      <c r="A42" s="147" t="s">
        <v>199</v>
      </c>
      <c r="B42" s="53" t="s">
        <v>181</v>
      </c>
      <c r="C42" s="53">
        <v>118994</v>
      </c>
      <c r="D42" s="53">
        <v>192527</v>
      </c>
      <c r="E42" s="53">
        <v>100489</v>
      </c>
      <c r="F42" s="53">
        <v>134433</v>
      </c>
      <c r="G42" s="53">
        <v>134433</v>
      </c>
      <c r="H42" s="53">
        <v>131292</v>
      </c>
      <c r="I42" s="53">
        <v>127957</v>
      </c>
    </row>
    <row r="43" spans="1:9" ht="15.75">
      <c r="A43" s="147" t="s">
        <v>200</v>
      </c>
      <c r="B43" s="53" t="s">
        <v>181</v>
      </c>
      <c r="C43" s="53">
        <v>19498</v>
      </c>
      <c r="D43" s="53">
        <v>26232</v>
      </c>
      <c r="E43" s="53">
        <v>22043</v>
      </c>
      <c r="F43" s="53">
        <v>33844</v>
      </c>
      <c r="G43" s="53">
        <v>33844</v>
      </c>
      <c r="H43" s="53">
        <v>28741</v>
      </c>
      <c r="I43" s="53">
        <v>26423</v>
      </c>
    </row>
    <row r="44" spans="1:9" ht="15.75">
      <c r="A44" s="147" t="s">
        <v>201</v>
      </c>
      <c r="B44" s="53" t="s">
        <v>181</v>
      </c>
      <c r="C44" s="53">
        <v>2919</v>
      </c>
      <c r="D44" s="53">
        <v>6998</v>
      </c>
      <c r="E44" s="53">
        <v>7125</v>
      </c>
      <c r="F44" s="53">
        <v>9070</v>
      </c>
      <c r="G44" s="53">
        <v>9070</v>
      </c>
      <c r="H44" s="53">
        <v>9317</v>
      </c>
      <c r="I44" s="53">
        <v>9573</v>
      </c>
    </row>
    <row r="45" spans="1:9" ht="32.25" customHeight="1">
      <c r="A45" s="145" t="s">
        <v>202</v>
      </c>
      <c r="B45" s="53" t="s">
        <v>203</v>
      </c>
      <c r="C45" s="240">
        <v>3560</v>
      </c>
      <c r="D45" s="240">
        <v>3467</v>
      </c>
      <c r="E45" s="240">
        <v>3420</v>
      </c>
      <c r="F45" s="240">
        <v>3400</v>
      </c>
      <c r="G45" s="240">
        <v>3400</v>
      </c>
      <c r="H45" s="240">
        <v>3400</v>
      </c>
      <c r="I45" s="240">
        <v>3400</v>
      </c>
    </row>
    <row r="46" spans="1:9" ht="32.25" customHeight="1">
      <c r="A46" s="145" t="s">
        <v>204</v>
      </c>
      <c r="B46" s="53" t="s">
        <v>14</v>
      </c>
      <c r="C46" s="55">
        <v>0</v>
      </c>
      <c r="D46" s="55">
        <v>0</v>
      </c>
      <c r="E46" s="55">
        <v>0</v>
      </c>
      <c r="F46" s="55">
        <v>0</v>
      </c>
      <c r="G46" s="55">
        <v>0</v>
      </c>
      <c r="H46" s="55">
        <v>0</v>
      </c>
      <c r="I46" s="55">
        <v>0</v>
      </c>
    </row>
    <row r="47" spans="1:9" ht="23.25" customHeight="1">
      <c r="A47" s="145" t="s">
        <v>205</v>
      </c>
      <c r="B47" s="53" t="s">
        <v>181</v>
      </c>
      <c r="C47" s="240">
        <v>1259566</v>
      </c>
      <c r="D47" s="240">
        <v>1436466</v>
      </c>
      <c r="E47" s="240">
        <v>1437000</v>
      </c>
      <c r="F47" s="240">
        <v>1492000</v>
      </c>
      <c r="G47" s="240">
        <v>1492000</v>
      </c>
      <c r="H47" s="240">
        <v>1584000</v>
      </c>
      <c r="I47" s="240">
        <v>1679000</v>
      </c>
    </row>
    <row r="48" spans="1:9" ht="34.5" customHeight="1">
      <c r="A48" s="145" t="s">
        <v>206</v>
      </c>
      <c r="B48" s="53" t="s">
        <v>181</v>
      </c>
      <c r="C48" s="55">
        <v>0</v>
      </c>
      <c r="D48" s="55">
        <v>0</v>
      </c>
      <c r="E48" s="55">
        <v>0</v>
      </c>
      <c r="F48" s="55">
        <v>0</v>
      </c>
      <c r="G48" s="55">
        <v>0</v>
      </c>
      <c r="H48" s="55">
        <v>0</v>
      </c>
      <c r="I48" s="55">
        <v>0</v>
      </c>
    </row>
    <row r="49" spans="1:10" ht="13.5" customHeight="1">
      <c r="A49" s="47"/>
      <c r="B49" s="34"/>
      <c r="C49" s="48"/>
      <c r="D49" s="48"/>
      <c r="E49" s="48"/>
      <c r="F49" s="48"/>
      <c r="G49" s="48"/>
      <c r="H49" s="48"/>
      <c r="I49" s="48"/>
      <c r="J49" s="48"/>
    </row>
    <row r="50" spans="1:10" ht="19.5" customHeight="1" thickBot="1">
      <c r="A50" s="49"/>
      <c r="B50" s="50"/>
      <c r="C50" s="32"/>
      <c r="D50" s="32"/>
      <c r="E50" s="32"/>
      <c r="F50" s="32"/>
      <c r="G50" s="32"/>
      <c r="H50" s="32"/>
      <c r="I50" s="32"/>
      <c r="J50" s="32"/>
    </row>
    <row r="51" spans="1:9" ht="15.75" customHeight="1">
      <c r="A51" s="425" t="s">
        <v>207</v>
      </c>
      <c r="B51" s="427" t="s">
        <v>176</v>
      </c>
      <c r="C51" s="417" t="s">
        <v>265</v>
      </c>
      <c r="D51" s="417" t="s">
        <v>342</v>
      </c>
      <c r="E51" s="417" t="s">
        <v>343</v>
      </c>
      <c r="F51" s="420" t="s">
        <v>177</v>
      </c>
      <c r="G51" s="413"/>
      <c r="H51" s="413"/>
      <c r="I51" s="414"/>
    </row>
    <row r="52" spans="1:9" ht="15.75" customHeight="1">
      <c r="A52" s="426"/>
      <c r="B52" s="428"/>
      <c r="C52" s="418"/>
      <c r="D52" s="418"/>
      <c r="E52" s="418"/>
      <c r="F52" s="421">
        <v>2015</v>
      </c>
      <c r="G52" s="422"/>
      <c r="H52" s="423" t="s">
        <v>241</v>
      </c>
      <c r="I52" s="424" t="s">
        <v>330</v>
      </c>
    </row>
    <row r="53" spans="1:9" ht="18.75" customHeight="1">
      <c r="A53" s="426"/>
      <c r="B53" s="429"/>
      <c r="C53" s="419"/>
      <c r="D53" s="419"/>
      <c r="E53" s="419"/>
      <c r="F53" s="204" t="s">
        <v>79</v>
      </c>
      <c r="G53" s="229" t="s">
        <v>2</v>
      </c>
      <c r="H53" s="411"/>
      <c r="I53" s="409"/>
    </row>
    <row r="54" spans="1:9" ht="31.5">
      <c r="A54" s="59" t="s">
        <v>269</v>
      </c>
      <c r="B54" s="203" t="s">
        <v>59</v>
      </c>
      <c r="C54" s="203">
        <v>189</v>
      </c>
      <c r="D54" s="203">
        <v>193.7</v>
      </c>
      <c r="E54" s="203">
        <v>205.4</v>
      </c>
      <c r="F54" s="203">
        <v>199</v>
      </c>
      <c r="G54" s="203">
        <v>199</v>
      </c>
      <c r="H54" s="203">
        <v>199</v>
      </c>
      <c r="I54" s="203">
        <v>199</v>
      </c>
    </row>
    <row r="55" spans="1:9" ht="31.5">
      <c r="A55" s="59" t="s">
        <v>56</v>
      </c>
      <c r="B55" s="203" t="s">
        <v>23</v>
      </c>
      <c r="C55" s="203">
        <v>273122</v>
      </c>
      <c r="D55" s="203">
        <v>287105</v>
      </c>
      <c r="E55" s="203">
        <v>287000</v>
      </c>
      <c r="F55" s="203">
        <v>280000</v>
      </c>
      <c r="G55" s="203">
        <v>280000</v>
      </c>
      <c r="H55" s="203">
        <v>280000</v>
      </c>
      <c r="I55" s="203">
        <v>280000</v>
      </c>
    </row>
    <row r="56" spans="1:9" ht="47.25">
      <c r="A56" s="59" t="s">
        <v>57</v>
      </c>
      <c r="B56" s="203" t="s">
        <v>23</v>
      </c>
      <c r="C56" s="203">
        <v>6895</v>
      </c>
      <c r="D56" s="203">
        <v>6806</v>
      </c>
      <c r="E56" s="203">
        <v>6720</v>
      </c>
      <c r="F56" s="203">
        <v>6720</v>
      </c>
      <c r="G56" s="203">
        <v>6720</v>
      </c>
      <c r="H56" s="203">
        <v>6720</v>
      </c>
      <c r="I56" s="203">
        <v>6720</v>
      </c>
    </row>
    <row r="57" spans="1:9" ht="15.75">
      <c r="A57" s="59" t="s">
        <v>58</v>
      </c>
      <c r="B57" s="53" t="s">
        <v>23</v>
      </c>
      <c r="C57" s="55">
        <v>0</v>
      </c>
      <c r="D57" s="55">
        <v>0</v>
      </c>
      <c r="E57" s="55">
        <v>0</v>
      </c>
      <c r="F57" s="55">
        <v>0</v>
      </c>
      <c r="G57" s="55">
        <v>0</v>
      </c>
      <c r="H57" s="55">
        <v>0</v>
      </c>
      <c r="I57" s="55">
        <v>0</v>
      </c>
    </row>
    <row r="58" spans="1:10" s="148" customFormat="1" ht="22.5" customHeight="1">
      <c r="A58" s="57"/>
      <c r="B58" s="57"/>
      <c r="C58" s="48"/>
      <c r="D58" s="48"/>
      <c r="E58" s="48"/>
      <c r="F58" s="48"/>
      <c r="G58" s="48"/>
      <c r="H58" s="48"/>
      <c r="I58" s="48"/>
      <c r="J58" s="48"/>
    </row>
    <row r="59" spans="1:10" s="148" customFormat="1" ht="22.5" customHeight="1" thickBot="1">
      <c r="A59" s="403" t="s">
        <v>367</v>
      </c>
      <c r="B59" s="403"/>
      <c r="C59" s="403"/>
      <c r="D59" s="403"/>
      <c r="E59" s="403"/>
      <c r="F59" s="403"/>
      <c r="G59" s="403"/>
      <c r="H59" s="403"/>
      <c r="I59" s="403"/>
      <c r="J59" s="403"/>
    </row>
    <row r="60" spans="1:10" s="148" customFormat="1" ht="63.75" customHeight="1">
      <c r="A60" s="404" t="s">
        <v>270</v>
      </c>
      <c r="B60" s="406" t="s">
        <v>271</v>
      </c>
      <c r="C60" s="407"/>
      <c r="D60" s="410" t="s">
        <v>272</v>
      </c>
      <c r="E60" s="410" t="s">
        <v>273</v>
      </c>
      <c r="F60" s="412" t="s">
        <v>274</v>
      </c>
      <c r="G60" s="413"/>
      <c r="H60" s="414"/>
      <c r="I60" s="410" t="s">
        <v>275</v>
      </c>
      <c r="J60" s="415" t="s">
        <v>108</v>
      </c>
    </row>
    <row r="61" spans="1:10" s="148" customFormat="1" ht="50.25" customHeight="1">
      <c r="A61" s="405"/>
      <c r="B61" s="408"/>
      <c r="C61" s="409"/>
      <c r="D61" s="411"/>
      <c r="E61" s="411"/>
      <c r="F61" s="62" t="s">
        <v>276</v>
      </c>
      <c r="G61" s="62" t="s">
        <v>277</v>
      </c>
      <c r="H61" s="62" t="s">
        <v>278</v>
      </c>
      <c r="I61" s="411"/>
      <c r="J61" s="416"/>
    </row>
    <row r="62" spans="1:10" s="148" customFormat="1" ht="33" customHeight="1">
      <c r="A62" s="402" t="s">
        <v>339</v>
      </c>
      <c r="B62" s="401" t="s">
        <v>368</v>
      </c>
      <c r="C62" s="401"/>
      <c r="D62" s="202">
        <f>D63+D64+D65+D66</f>
        <v>481.656</v>
      </c>
      <c r="E62" s="64"/>
      <c r="F62" s="202">
        <f>F63+F64+F65+F66</f>
        <v>1127</v>
      </c>
      <c r="G62" s="64"/>
      <c r="H62" s="64"/>
      <c r="I62" s="431" t="s">
        <v>344</v>
      </c>
      <c r="J62" s="431" t="s">
        <v>341</v>
      </c>
    </row>
    <row r="63" spans="1:10" s="148" customFormat="1" ht="17.25" customHeight="1">
      <c r="A63" s="402"/>
      <c r="B63" s="401">
        <v>2014</v>
      </c>
      <c r="C63" s="401">
        <v>2013</v>
      </c>
      <c r="D63" s="202">
        <v>481.656</v>
      </c>
      <c r="E63" s="64"/>
      <c r="F63" s="162">
        <v>287</v>
      </c>
      <c r="G63" s="64"/>
      <c r="H63" s="64"/>
      <c r="I63" s="432"/>
      <c r="J63" s="432"/>
    </row>
    <row r="64" spans="1:10" s="148" customFormat="1" ht="16.5" customHeight="1">
      <c r="A64" s="402"/>
      <c r="B64" s="401">
        <v>2015</v>
      </c>
      <c r="C64" s="401">
        <v>2014</v>
      </c>
      <c r="D64" s="202">
        <v>0</v>
      </c>
      <c r="E64" s="64"/>
      <c r="F64" s="162">
        <v>280</v>
      </c>
      <c r="G64" s="64"/>
      <c r="H64" s="64"/>
      <c r="I64" s="432"/>
      <c r="J64" s="432"/>
    </row>
    <row r="65" spans="1:10" s="148" customFormat="1" ht="16.5" customHeight="1">
      <c r="A65" s="402"/>
      <c r="B65" s="401">
        <v>2016</v>
      </c>
      <c r="C65" s="401">
        <v>2015</v>
      </c>
      <c r="D65" s="202">
        <v>0</v>
      </c>
      <c r="E65" s="64"/>
      <c r="F65" s="162">
        <v>280</v>
      </c>
      <c r="G65" s="64"/>
      <c r="H65" s="64"/>
      <c r="I65" s="432"/>
      <c r="J65" s="432"/>
    </row>
    <row r="66" spans="1:10" s="148" customFormat="1" ht="156.75" customHeight="1">
      <c r="A66" s="402"/>
      <c r="B66" s="401">
        <v>2017</v>
      </c>
      <c r="C66" s="401">
        <v>2016</v>
      </c>
      <c r="D66" s="202">
        <v>0</v>
      </c>
      <c r="E66" s="64"/>
      <c r="F66" s="162">
        <v>280</v>
      </c>
      <c r="G66" s="64"/>
      <c r="H66" s="64"/>
      <c r="I66" s="433"/>
      <c r="J66" s="433"/>
    </row>
    <row r="67" spans="1:10" s="148" customFormat="1" ht="30" customHeight="1">
      <c r="A67" s="402" t="s">
        <v>229</v>
      </c>
      <c r="B67" s="401" t="s">
        <v>368</v>
      </c>
      <c r="C67" s="401"/>
      <c r="D67" s="202">
        <f>D68+D69+D70+D71</f>
        <v>954.9259999999999</v>
      </c>
      <c r="E67" s="64"/>
      <c r="F67" s="64"/>
      <c r="G67" s="64"/>
      <c r="H67" s="64"/>
      <c r="I67" s="149"/>
      <c r="J67" s="64"/>
    </row>
    <row r="68" spans="1:10" s="148" customFormat="1" ht="16.5" customHeight="1">
      <c r="A68" s="402"/>
      <c r="B68" s="401">
        <v>2014</v>
      </c>
      <c r="C68" s="401">
        <v>2013</v>
      </c>
      <c r="D68" s="202">
        <v>468.31</v>
      </c>
      <c r="E68" s="64"/>
      <c r="F68" s="64"/>
      <c r="G68" s="64"/>
      <c r="H68" s="64"/>
      <c r="I68" s="149"/>
      <c r="J68" s="64"/>
    </row>
    <row r="69" spans="1:10" s="148" customFormat="1" ht="16.5" customHeight="1">
      <c r="A69" s="402"/>
      <c r="B69" s="401">
        <v>2015</v>
      </c>
      <c r="C69" s="401">
        <v>2014</v>
      </c>
      <c r="D69" s="202">
        <v>191.6</v>
      </c>
      <c r="E69" s="64"/>
      <c r="F69" s="64"/>
      <c r="G69" s="64"/>
      <c r="H69" s="64"/>
      <c r="I69" s="149"/>
      <c r="J69" s="64"/>
    </row>
    <row r="70" spans="1:10" s="148" customFormat="1" ht="16.5" customHeight="1">
      <c r="A70" s="402"/>
      <c r="B70" s="401">
        <v>2016</v>
      </c>
      <c r="C70" s="401">
        <v>2015</v>
      </c>
      <c r="D70" s="202">
        <v>143.7</v>
      </c>
      <c r="E70" s="64"/>
      <c r="F70" s="64"/>
      <c r="G70" s="64"/>
      <c r="H70" s="64"/>
      <c r="I70" s="149"/>
      <c r="J70" s="64"/>
    </row>
    <row r="71" spans="1:10" s="148" customFormat="1" ht="16.5" customHeight="1">
      <c r="A71" s="402"/>
      <c r="B71" s="401">
        <v>2017</v>
      </c>
      <c r="C71" s="401">
        <v>2016</v>
      </c>
      <c r="D71" s="202">
        <v>151.316</v>
      </c>
      <c r="E71" s="64"/>
      <c r="F71" s="64"/>
      <c r="G71" s="64"/>
      <c r="H71" s="64"/>
      <c r="I71" s="64"/>
      <c r="J71" s="64"/>
    </row>
    <row r="72" spans="1:10" s="148" customFormat="1" ht="22.5" customHeight="1">
      <c r="A72" s="57"/>
      <c r="B72" s="57"/>
      <c r="C72" s="48"/>
      <c r="D72" s="48"/>
      <c r="E72" s="48"/>
      <c r="F72" s="48"/>
      <c r="G72" s="48"/>
      <c r="H72" s="48"/>
      <c r="I72" s="48"/>
      <c r="J72" s="48"/>
    </row>
    <row r="73" spans="1:10" s="148" customFormat="1" ht="22.5" customHeight="1">
      <c r="A73" s="61" t="s">
        <v>279</v>
      </c>
      <c r="B73" s="400" t="s">
        <v>364</v>
      </c>
      <c r="C73" s="400"/>
      <c r="D73" s="400"/>
      <c r="E73" s="400"/>
      <c r="F73" s="400"/>
      <c r="G73" s="400"/>
      <c r="H73" s="400"/>
      <c r="I73" s="33"/>
      <c r="J73" s="33"/>
    </row>
    <row r="74" spans="1:10" s="148" customFormat="1" ht="22.5" customHeight="1">
      <c r="A74" s="57"/>
      <c r="B74" s="57"/>
      <c r="C74" s="48"/>
      <c r="D74" s="48"/>
      <c r="E74" s="48"/>
      <c r="F74" s="48"/>
      <c r="G74" s="48"/>
      <c r="H74" s="48"/>
      <c r="I74" s="48"/>
      <c r="J74" s="48"/>
    </row>
    <row r="75" spans="1:10" s="148" customFormat="1" ht="22.5" customHeight="1">
      <c r="A75" s="57"/>
      <c r="B75" s="57"/>
      <c r="C75" s="48"/>
      <c r="D75" s="48"/>
      <c r="E75" s="48"/>
      <c r="F75" s="48"/>
      <c r="G75" s="48"/>
      <c r="H75" s="48"/>
      <c r="I75" s="48"/>
      <c r="J75" s="48"/>
    </row>
    <row r="76" spans="1:8" ht="27" customHeight="1">
      <c r="A76" s="150"/>
      <c r="B76" s="150"/>
      <c r="C76" s="150"/>
      <c r="D76" s="150"/>
      <c r="E76" s="150"/>
      <c r="F76" s="150"/>
      <c r="G76" s="150"/>
      <c r="H76" s="150"/>
    </row>
    <row r="77" spans="1:2" ht="7.5" customHeight="1">
      <c r="A77" s="51"/>
      <c r="B77" s="51"/>
    </row>
    <row r="78" spans="1:2" ht="12.75">
      <c r="A78" s="51"/>
      <c r="B78" s="51"/>
    </row>
    <row r="79" spans="1:2" ht="12.75">
      <c r="A79" s="51"/>
      <c r="B79" s="51"/>
    </row>
    <row r="80" spans="1:2" ht="12.75">
      <c r="A80" s="51"/>
      <c r="B80" s="51"/>
    </row>
    <row r="81" spans="1:2" ht="12.75">
      <c r="A81" s="51"/>
      <c r="B81" s="51"/>
    </row>
    <row r="82" spans="1:2" ht="12.75">
      <c r="A82" s="51"/>
      <c r="B82" s="51"/>
    </row>
    <row r="83" spans="1:2" ht="12.75">
      <c r="A83" s="51"/>
      <c r="B83" s="51"/>
    </row>
    <row r="84" spans="1:2" ht="12.75">
      <c r="A84" s="51"/>
      <c r="B84" s="51"/>
    </row>
    <row r="85" spans="1:2" ht="12.75">
      <c r="A85" s="51"/>
      <c r="B85" s="51"/>
    </row>
    <row r="86" spans="1:2" ht="12.75">
      <c r="A86" s="51"/>
      <c r="B86" s="51"/>
    </row>
    <row r="87" spans="1:2" ht="12.75">
      <c r="A87" s="51"/>
      <c r="B87" s="51"/>
    </row>
    <row r="88" spans="1:2" ht="12.75">
      <c r="A88" s="51"/>
      <c r="B88" s="51"/>
    </row>
    <row r="89" spans="1:2" ht="12.75">
      <c r="A89" s="51"/>
      <c r="B89" s="51"/>
    </row>
    <row r="90" spans="1:2" ht="12.75">
      <c r="A90" s="51"/>
      <c r="B90" s="51"/>
    </row>
    <row r="91" spans="1:2" ht="12.75">
      <c r="A91" s="51"/>
      <c r="B91" s="51"/>
    </row>
    <row r="92" spans="1:2" ht="12.75">
      <c r="A92" s="51"/>
      <c r="B92" s="51"/>
    </row>
    <row r="93" spans="1:2" ht="12.75">
      <c r="A93" s="51"/>
      <c r="B93" s="51"/>
    </row>
    <row r="94" spans="1:2" ht="12.75">
      <c r="A94" s="51"/>
      <c r="B94" s="51"/>
    </row>
    <row r="95" spans="1:2" ht="12.75">
      <c r="A95" s="51"/>
      <c r="B95" s="51"/>
    </row>
    <row r="96" spans="1:2" ht="12.75">
      <c r="A96" s="51"/>
      <c r="B96" s="51"/>
    </row>
    <row r="97" spans="1:2" ht="12.75">
      <c r="A97" s="51"/>
      <c r="B97" s="51"/>
    </row>
    <row r="98" spans="1:2" ht="12.75">
      <c r="A98" s="51"/>
      <c r="B98" s="51"/>
    </row>
    <row r="99" spans="1:2" ht="12.75">
      <c r="A99" s="51"/>
      <c r="B99" s="51"/>
    </row>
    <row r="100" spans="1:2" ht="12.75">
      <c r="A100" s="51"/>
      <c r="B100" s="51"/>
    </row>
    <row r="101" spans="1:2" ht="12.75">
      <c r="A101" s="51"/>
      <c r="B101" s="51"/>
    </row>
    <row r="102" spans="1:2" ht="12.75">
      <c r="A102" s="51"/>
      <c r="B102" s="51"/>
    </row>
    <row r="103" spans="1:2" ht="12.75">
      <c r="A103" s="51"/>
      <c r="B103" s="51"/>
    </row>
    <row r="104" spans="1:2" ht="12.75">
      <c r="A104" s="51"/>
      <c r="B104" s="51"/>
    </row>
    <row r="105" spans="1:2" ht="12.75">
      <c r="A105" s="51"/>
      <c r="B105" s="51"/>
    </row>
    <row r="106" spans="1:2" ht="12.75">
      <c r="A106" s="51"/>
      <c r="B106" s="51"/>
    </row>
    <row r="107" spans="1:2" ht="12.75">
      <c r="A107" s="51"/>
      <c r="B107" s="51"/>
    </row>
    <row r="108" spans="1:2" ht="12.75">
      <c r="A108" s="51"/>
      <c r="B108" s="51"/>
    </row>
    <row r="109" spans="1:2" ht="12.75">
      <c r="A109" s="51"/>
      <c r="B109" s="51"/>
    </row>
    <row r="110" spans="1:2" ht="12.75">
      <c r="A110" s="51"/>
      <c r="B110" s="51"/>
    </row>
    <row r="111" spans="1:2" ht="12.75">
      <c r="A111" s="51"/>
      <c r="B111" s="51"/>
    </row>
    <row r="112" spans="1:2" ht="12.75">
      <c r="A112" s="51"/>
      <c r="B112" s="51"/>
    </row>
    <row r="113" spans="1:2" ht="12.75">
      <c r="A113" s="51"/>
      <c r="B113" s="51"/>
    </row>
    <row r="114" spans="1:2" ht="12.75">
      <c r="A114" s="51"/>
      <c r="B114" s="51"/>
    </row>
    <row r="115" spans="1:2" ht="12.75">
      <c r="A115" s="51"/>
      <c r="B115" s="51"/>
    </row>
    <row r="116" spans="1:2" ht="12.75">
      <c r="A116" s="51"/>
      <c r="B116" s="51"/>
    </row>
    <row r="117" spans="1:2" ht="12.75">
      <c r="A117" s="51"/>
      <c r="B117" s="51"/>
    </row>
    <row r="118" spans="1:2" ht="12.75">
      <c r="A118" s="51"/>
      <c r="B118" s="51"/>
    </row>
    <row r="119" spans="1:2" ht="12.75">
      <c r="A119" s="51"/>
      <c r="B119" s="51"/>
    </row>
    <row r="120" spans="1:2" ht="12.75">
      <c r="A120" s="51"/>
      <c r="B120" s="51"/>
    </row>
    <row r="121" spans="1:2" ht="12.75">
      <c r="A121" s="51"/>
      <c r="B121" s="51"/>
    </row>
    <row r="122" spans="1:2" ht="12.75">
      <c r="A122" s="51"/>
      <c r="B122" s="51"/>
    </row>
    <row r="123" spans="1:2" ht="12.75">
      <c r="A123" s="51"/>
      <c r="B123" s="51"/>
    </row>
    <row r="124" spans="1:2" ht="12.75">
      <c r="A124" s="51"/>
      <c r="B124" s="51"/>
    </row>
    <row r="125" spans="1:2" ht="12.75">
      <c r="A125" s="51"/>
      <c r="B125" s="51"/>
    </row>
    <row r="126" spans="1:2" ht="12.75">
      <c r="A126" s="51"/>
      <c r="B126" s="51"/>
    </row>
    <row r="127" spans="1:2" ht="12.75">
      <c r="A127" s="51"/>
      <c r="B127" s="51"/>
    </row>
    <row r="128" spans="1:2" ht="12.75">
      <c r="A128" s="51"/>
      <c r="B128" s="51"/>
    </row>
    <row r="129" spans="1:2" ht="12.75">
      <c r="A129" s="51"/>
      <c r="B129" s="51"/>
    </row>
    <row r="130" spans="1:2" ht="12.75">
      <c r="A130" s="51"/>
      <c r="B130" s="51"/>
    </row>
    <row r="131" spans="1:2" ht="12.75">
      <c r="A131" s="51"/>
      <c r="B131" s="51"/>
    </row>
    <row r="132" spans="1:2" ht="12.75">
      <c r="A132" s="51"/>
      <c r="B132" s="51"/>
    </row>
    <row r="133" spans="1:2" ht="12.75">
      <c r="A133" s="51"/>
      <c r="B133" s="51"/>
    </row>
    <row r="134" spans="1:2" ht="12.75">
      <c r="A134" s="51"/>
      <c r="B134" s="51"/>
    </row>
    <row r="135" spans="1:2" ht="12.75">
      <c r="A135" s="51"/>
      <c r="B135" s="51"/>
    </row>
    <row r="136" spans="1:2" ht="12.75">
      <c r="A136" s="51"/>
      <c r="B136" s="51"/>
    </row>
    <row r="137" spans="1:2" ht="12.75">
      <c r="A137" s="51"/>
      <c r="B137" s="51"/>
    </row>
    <row r="138" spans="1:2" ht="12.75">
      <c r="A138" s="51"/>
      <c r="B138" s="51"/>
    </row>
    <row r="139" spans="1:2" ht="12.75">
      <c r="A139" s="51"/>
      <c r="B139" s="51"/>
    </row>
    <row r="140" spans="1:2" ht="12.75">
      <c r="A140" s="51"/>
      <c r="B140" s="51"/>
    </row>
    <row r="141" spans="1:2" ht="12.75">
      <c r="A141" s="51"/>
      <c r="B141" s="51"/>
    </row>
    <row r="142" spans="1:2" ht="12.75">
      <c r="A142" s="51"/>
      <c r="B142" s="51"/>
    </row>
    <row r="143" spans="1:2" ht="12.75">
      <c r="A143" s="51"/>
      <c r="B143" s="51"/>
    </row>
    <row r="144" spans="1:2" ht="12.75">
      <c r="A144" s="51"/>
      <c r="B144" s="51"/>
    </row>
    <row r="145" spans="1:2" ht="12.75">
      <c r="A145" s="51"/>
      <c r="B145" s="51"/>
    </row>
    <row r="146" spans="1:2" ht="12.75">
      <c r="A146" s="51"/>
      <c r="B146" s="51"/>
    </row>
    <row r="147" spans="1:2" ht="12.75">
      <c r="A147" s="51"/>
      <c r="B147" s="51"/>
    </row>
    <row r="148" spans="1:2" ht="12.75">
      <c r="A148" s="51"/>
      <c r="B148" s="51"/>
    </row>
    <row r="149" spans="1:2" ht="12.75">
      <c r="A149" s="51"/>
      <c r="B149" s="51"/>
    </row>
    <row r="150" spans="1:2" ht="12.75">
      <c r="A150" s="51"/>
      <c r="B150" s="51"/>
    </row>
    <row r="151" spans="1:2" ht="12.75">
      <c r="A151" s="51"/>
      <c r="B151" s="51"/>
    </row>
    <row r="152" spans="1:2" ht="12.75">
      <c r="A152" s="51"/>
      <c r="B152" s="51"/>
    </row>
    <row r="153" spans="1:2" ht="12.75">
      <c r="A153" s="51"/>
      <c r="B153" s="51"/>
    </row>
    <row r="154" spans="1:2" ht="12.75">
      <c r="A154" s="51"/>
      <c r="B154" s="51"/>
    </row>
    <row r="155" spans="1:2" ht="12.75">
      <c r="A155" s="51"/>
      <c r="B155" s="51"/>
    </row>
    <row r="156" spans="1:2" ht="12.75">
      <c r="A156" s="51"/>
      <c r="B156" s="51"/>
    </row>
    <row r="157" spans="1:2" ht="12.75">
      <c r="A157" s="51"/>
      <c r="B157" s="51"/>
    </row>
    <row r="158" spans="1:2" ht="12.75">
      <c r="A158" s="51"/>
      <c r="B158" s="51"/>
    </row>
    <row r="159" spans="1:2" ht="12.75">
      <c r="A159" s="51"/>
      <c r="B159" s="51"/>
    </row>
    <row r="160" spans="1:2" ht="12.75">
      <c r="A160" s="51"/>
      <c r="B160" s="51"/>
    </row>
    <row r="161" spans="1:2" ht="12.75">
      <c r="A161" s="51"/>
      <c r="B161" s="51"/>
    </row>
    <row r="162" spans="1:2" ht="12.75">
      <c r="A162" s="51"/>
      <c r="B162" s="51"/>
    </row>
    <row r="163" spans="1:2" ht="12.75">
      <c r="A163" s="51"/>
      <c r="B163" s="51"/>
    </row>
    <row r="164" spans="1:2" ht="12.75">
      <c r="A164" s="51"/>
      <c r="B164" s="51"/>
    </row>
    <row r="165" spans="1:2" ht="12.75">
      <c r="A165" s="51"/>
      <c r="B165" s="51"/>
    </row>
    <row r="166" spans="1:2" ht="12.75">
      <c r="A166" s="51"/>
      <c r="B166" s="51"/>
    </row>
    <row r="167" spans="1:2" ht="12.75">
      <c r="A167" s="51"/>
      <c r="B167" s="51"/>
    </row>
    <row r="168" spans="1:2" ht="12.75">
      <c r="A168" s="51"/>
      <c r="B168" s="51"/>
    </row>
    <row r="169" spans="1:2" ht="12.75">
      <c r="A169" s="51"/>
      <c r="B169" s="51"/>
    </row>
    <row r="170" spans="1:2" ht="12.75">
      <c r="A170" s="51"/>
      <c r="B170" s="51"/>
    </row>
    <row r="171" spans="1:2" ht="12.75">
      <c r="A171" s="51"/>
      <c r="B171" s="51"/>
    </row>
    <row r="172" spans="1:2" ht="12.75">
      <c r="A172" s="51"/>
      <c r="B172" s="51"/>
    </row>
    <row r="173" spans="1:2" ht="12.75">
      <c r="A173" s="51"/>
      <c r="B173" s="51"/>
    </row>
    <row r="174" spans="1:2" ht="12.75">
      <c r="A174" s="51"/>
      <c r="B174" s="51"/>
    </row>
    <row r="175" spans="1:2" ht="12.75">
      <c r="A175" s="51"/>
      <c r="B175" s="51"/>
    </row>
    <row r="176" spans="1:2" ht="12.75">
      <c r="A176" s="51"/>
      <c r="B176" s="51"/>
    </row>
    <row r="177" spans="1:2" ht="12.75">
      <c r="A177" s="51"/>
      <c r="B177" s="51"/>
    </row>
    <row r="178" spans="1:2" ht="12.75">
      <c r="A178" s="51"/>
      <c r="B178" s="51"/>
    </row>
    <row r="179" spans="1:2" ht="12.75">
      <c r="A179" s="51"/>
      <c r="B179" s="51"/>
    </row>
    <row r="180" spans="1:2" ht="12.75">
      <c r="A180" s="51"/>
      <c r="B180" s="51"/>
    </row>
    <row r="181" spans="1:2" ht="12.75">
      <c r="A181" s="51"/>
      <c r="B181" s="51"/>
    </row>
    <row r="182" spans="1:2" ht="12.75">
      <c r="A182" s="51"/>
      <c r="B182" s="51"/>
    </row>
    <row r="183" spans="1:2" ht="12.75">
      <c r="A183" s="51"/>
      <c r="B183" s="51"/>
    </row>
    <row r="184" spans="1:2" ht="12.75">
      <c r="A184" s="51"/>
      <c r="B184" s="51"/>
    </row>
    <row r="185" spans="1:2" ht="12.75">
      <c r="A185" s="51"/>
      <c r="B185" s="51"/>
    </row>
    <row r="186" spans="1:2" ht="12.75">
      <c r="A186" s="51"/>
      <c r="B186" s="51"/>
    </row>
    <row r="187" spans="1:2" ht="12.75">
      <c r="A187" s="51"/>
      <c r="B187" s="51"/>
    </row>
    <row r="188" spans="1:2" ht="12.75">
      <c r="A188" s="51"/>
      <c r="B188" s="51"/>
    </row>
    <row r="189" spans="1:2" ht="12.75">
      <c r="A189" s="51"/>
      <c r="B189" s="51"/>
    </row>
    <row r="190" spans="1:2" ht="12.75">
      <c r="A190" s="51"/>
      <c r="B190" s="51"/>
    </row>
    <row r="191" spans="1:2" ht="12.75">
      <c r="A191" s="51"/>
      <c r="B191" s="51"/>
    </row>
    <row r="192" spans="1:2" ht="12.75">
      <c r="A192" s="51"/>
      <c r="B192" s="51"/>
    </row>
    <row r="193" spans="1:2" ht="12.75">
      <c r="A193" s="51"/>
      <c r="B193" s="51"/>
    </row>
    <row r="194" spans="1:2" ht="12.75">
      <c r="A194" s="51"/>
      <c r="B194" s="51"/>
    </row>
    <row r="195" spans="1:2" ht="12.75">
      <c r="A195" s="51"/>
      <c r="B195" s="51"/>
    </row>
    <row r="196" spans="1:2" ht="12.75">
      <c r="A196" s="51"/>
      <c r="B196" s="51"/>
    </row>
    <row r="197" spans="1:2" ht="12.75">
      <c r="A197" s="51"/>
      <c r="B197" s="51"/>
    </row>
    <row r="198" spans="1:2" ht="12.75">
      <c r="A198" s="51"/>
      <c r="B198" s="51"/>
    </row>
    <row r="199" spans="1:2" ht="12.75">
      <c r="A199" s="51"/>
      <c r="B199" s="51"/>
    </row>
    <row r="200" spans="1:2" ht="12.75">
      <c r="A200" s="51"/>
      <c r="B200" s="51"/>
    </row>
    <row r="201" spans="1:2" ht="12.75">
      <c r="A201" s="51"/>
      <c r="B201" s="51"/>
    </row>
    <row r="202" spans="1:2" ht="12.75">
      <c r="A202" s="51"/>
      <c r="B202" s="51"/>
    </row>
    <row r="203" spans="1:2" ht="12.75">
      <c r="A203" s="51"/>
      <c r="B203" s="51"/>
    </row>
    <row r="204" spans="1:2" ht="12.75">
      <c r="A204" s="51"/>
      <c r="B204" s="51"/>
    </row>
    <row r="205" spans="1:2" ht="12.75">
      <c r="A205" s="51"/>
      <c r="B205" s="51"/>
    </row>
    <row r="206" spans="1:2" ht="12.75">
      <c r="A206" s="51"/>
      <c r="B206" s="51"/>
    </row>
    <row r="207" spans="1:2" ht="12.75">
      <c r="A207" s="51"/>
      <c r="B207" s="51"/>
    </row>
    <row r="208" spans="1:2" ht="12.75">
      <c r="A208" s="51"/>
      <c r="B208" s="51"/>
    </row>
    <row r="209" spans="1:2" ht="12.75">
      <c r="A209" s="51"/>
      <c r="B209" s="51"/>
    </row>
    <row r="210" spans="1:2" ht="12.75">
      <c r="A210" s="51"/>
      <c r="B210" s="51"/>
    </row>
    <row r="211" spans="1:2" ht="12.75">
      <c r="A211" s="51"/>
      <c r="B211" s="51"/>
    </row>
    <row r="212" spans="1:2" ht="12.75">
      <c r="A212" s="51"/>
      <c r="B212" s="51"/>
    </row>
    <row r="213" spans="1:2" ht="12.75">
      <c r="A213" s="51"/>
      <c r="B213" s="51"/>
    </row>
    <row r="214" spans="1:2" ht="12.75">
      <c r="A214" s="51"/>
      <c r="B214" s="51"/>
    </row>
    <row r="215" spans="1:2" ht="12.75">
      <c r="A215" s="51"/>
      <c r="B215" s="51"/>
    </row>
    <row r="216" spans="1:2" ht="12.75">
      <c r="A216" s="51"/>
      <c r="B216" s="51"/>
    </row>
    <row r="217" spans="1:2" ht="12.75">
      <c r="A217" s="51"/>
      <c r="B217" s="51"/>
    </row>
    <row r="218" spans="1:2" ht="12.75">
      <c r="A218" s="51"/>
      <c r="B218" s="51"/>
    </row>
    <row r="219" spans="1:2" ht="12.75">
      <c r="A219" s="51"/>
      <c r="B219" s="51"/>
    </row>
    <row r="220" spans="1:2" ht="12.75">
      <c r="A220" s="51"/>
      <c r="B220" s="51"/>
    </row>
    <row r="221" spans="1:2" ht="12.75">
      <c r="A221" s="51"/>
      <c r="B221" s="51"/>
    </row>
    <row r="222" spans="1:2" ht="12.75">
      <c r="A222" s="51"/>
      <c r="B222" s="51"/>
    </row>
    <row r="223" spans="1:2" ht="12.75">
      <c r="A223" s="51"/>
      <c r="B223" s="51"/>
    </row>
    <row r="224" spans="1:2" ht="12.75">
      <c r="A224" s="51"/>
      <c r="B224" s="51"/>
    </row>
    <row r="225" spans="1:2" ht="12.75">
      <c r="A225" s="51"/>
      <c r="B225" s="51"/>
    </row>
    <row r="226" spans="1:2" ht="12.75">
      <c r="A226" s="51"/>
      <c r="B226" s="51"/>
    </row>
    <row r="227" spans="1:2" ht="12.75">
      <c r="A227" s="51"/>
      <c r="B227" s="51"/>
    </row>
    <row r="228" spans="1:2" ht="12.75">
      <c r="A228" s="51"/>
      <c r="B228" s="51"/>
    </row>
    <row r="229" spans="1:2" ht="12.75">
      <c r="A229" s="51"/>
      <c r="B229" s="51"/>
    </row>
    <row r="230" spans="1:2" ht="12.75">
      <c r="A230" s="51"/>
      <c r="B230" s="51"/>
    </row>
    <row r="231" spans="1:2" ht="12.75">
      <c r="A231" s="51"/>
      <c r="B231" s="51"/>
    </row>
    <row r="232" spans="1:2" ht="12.75">
      <c r="A232" s="51"/>
      <c r="B232" s="51"/>
    </row>
    <row r="233" spans="1:2" ht="12.75">
      <c r="A233" s="51"/>
      <c r="B233" s="51"/>
    </row>
    <row r="234" spans="1:2" ht="12.75">
      <c r="A234" s="51"/>
      <c r="B234" s="51"/>
    </row>
    <row r="235" spans="1:2" ht="12.75">
      <c r="A235" s="51"/>
      <c r="B235" s="51"/>
    </row>
    <row r="236" spans="1:2" ht="12.75">
      <c r="A236" s="51"/>
      <c r="B236" s="51"/>
    </row>
    <row r="237" spans="1:2" ht="12.75">
      <c r="A237" s="51"/>
      <c r="B237" s="51"/>
    </row>
    <row r="238" spans="1:2" ht="12.75">
      <c r="A238" s="51"/>
      <c r="B238" s="51"/>
    </row>
    <row r="239" spans="1:2" ht="12.75">
      <c r="A239" s="51"/>
      <c r="B239" s="51"/>
    </row>
    <row r="240" spans="1:2" ht="12.75">
      <c r="A240" s="51"/>
      <c r="B240" s="51"/>
    </row>
    <row r="241" spans="1:2" ht="12.75">
      <c r="A241" s="51"/>
      <c r="B241" s="51"/>
    </row>
    <row r="242" spans="1:2" ht="12.75">
      <c r="A242" s="51"/>
      <c r="B242" s="51"/>
    </row>
    <row r="243" spans="1:2" ht="12.75">
      <c r="A243" s="51"/>
      <c r="B243" s="51"/>
    </row>
    <row r="244" spans="1:2" ht="12.75">
      <c r="A244" s="51"/>
      <c r="B244" s="51"/>
    </row>
    <row r="245" spans="1:2" ht="12.75">
      <c r="A245" s="51"/>
      <c r="B245" s="51"/>
    </row>
    <row r="246" spans="1:2" ht="12.75">
      <c r="A246" s="51"/>
      <c r="B246" s="51"/>
    </row>
    <row r="247" spans="1:2" ht="12.75">
      <c r="A247" s="51"/>
      <c r="B247" s="51"/>
    </row>
    <row r="248" spans="1:2" ht="12.75">
      <c r="A248" s="51"/>
      <c r="B248" s="51"/>
    </row>
    <row r="249" spans="1:2" ht="12.75">
      <c r="A249" s="51"/>
      <c r="B249" s="51"/>
    </row>
    <row r="250" spans="1:2" ht="12.75">
      <c r="A250" s="51"/>
      <c r="B250" s="51"/>
    </row>
    <row r="251" spans="1:2" ht="12.75">
      <c r="A251" s="51"/>
      <c r="B251" s="51"/>
    </row>
    <row r="252" spans="1:2" ht="12.75">
      <c r="A252" s="51"/>
      <c r="B252" s="51"/>
    </row>
    <row r="253" spans="1:2" ht="12.75">
      <c r="A253" s="51"/>
      <c r="B253" s="51"/>
    </row>
    <row r="254" spans="1:2" ht="12.75">
      <c r="A254" s="51"/>
      <c r="B254" s="51"/>
    </row>
    <row r="255" spans="1:2" ht="12.75">
      <c r="A255" s="51"/>
      <c r="B255" s="51"/>
    </row>
    <row r="256" spans="1:2" ht="12.75">
      <c r="A256" s="51"/>
      <c r="B256" s="51"/>
    </row>
    <row r="257" spans="1:2" ht="12.75">
      <c r="A257" s="51"/>
      <c r="B257" s="51"/>
    </row>
    <row r="258" spans="1:2" ht="12.75">
      <c r="A258" s="51"/>
      <c r="B258" s="51"/>
    </row>
    <row r="259" spans="1:2" ht="12.75">
      <c r="A259" s="51"/>
      <c r="B259" s="51"/>
    </row>
    <row r="260" spans="1:2" ht="12.75">
      <c r="A260" s="51"/>
      <c r="B260" s="51"/>
    </row>
    <row r="261" spans="1:2" ht="12.75">
      <c r="A261" s="51"/>
      <c r="B261" s="51"/>
    </row>
    <row r="262" spans="1:2" ht="12.75">
      <c r="A262" s="51"/>
      <c r="B262" s="51"/>
    </row>
    <row r="263" spans="1:2" ht="12.75">
      <c r="A263" s="51"/>
      <c r="B263" s="51"/>
    </row>
    <row r="264" spans="1:2" ht="12.75">
      <c r="A264" s="51"/>
      <c r="B264" s="51"/>
    </row>
    <row r="265" spans="1:2" ht="12.75">
      <c r="A265" s="51"/>
      <c r="B265" s="51"/>
    </row>
    <row r="266" spans="1:2" ht="12.75">
      <c r="A266" s="51"/>
      <c r="B266" s="51"/>
    </row>
    <row r="267" spans="1:2" ht="12.75">
      <c r="A267" s="51"/>
      <c r="B267" s="51"/>
    </row>
    <row r="268" spans="1:2" ht="12.75">
      <c r="A268" s="51"/>
      <c r="B268" s="51"/>
    </row>
    <row r="269" spans="1:2" ht="12.75">
      <c r="A269" s="51"/>
      <c r="B269" s="51"/>
    </row>
    <row r="270" spans="1:2" ht="12.75">
      <c r="A270" s="51"/>
      <c r="B270" s="51"/>
    </row>
    <row r="271" spans="1:2" ht="12.75">
      <c r="A271" s="51"/>
      <c r="B271" s="51"/>
    </row>
    <row r="272" spans="1:2" ht="12.75">
      <c r="A272" s="51"/>
      <c r="B272" s="51"/>
    </row>
    <row r="273" spans="1:2" ht="12.75">
      <c r="A273" s="51"/>
      <c r="B273" s="51"/>
    </row>
    <row r="274" spans="1:2" ht="12.75">
      <c r="A274" s="51"/>
      <c r="B274" s="51"/>
    </row>
    <row r="275" spans="1:2" ht="12.75">
      <c r="A275" s="51"/>
      <c r="B275" s="51"/>
    </row>
    <row r="276" spans="1:2" ht="12.75">
      <c r="A276" s="51"/>
      <c r="B276" s="51"/>
    </row>
    <row r="277" spans="1:2" ht="12.75">
      <c r="A277" s="51"/>
      <c r="B277" s="51"/>
    </row>
  </sheetData>
  <mergeCells count="48">
    <mergeCell ref="I62:I66"/>
    <mergeCell ref="J62:J66"/>
    <mergeCell ref="F1:J1"/>
    <mergeCell ref="A2:J2"/>
    <mergeCell ref="A3:J3"/>
    <mergeCell ref="C4:F4"/>
    <mergeCell ref="A5:J5"/>
    <mergeCell ref="A6:J6"/>
    <mergeCell ref="A7:H7"/>
    <mergeCell ref="A8:A10"/>
    <mergeCell ref="B8:B10"/>
    <mergeCell ref="C8:C10"/>
    <mergeCell ref="D8:D10"/>
    <mergeCell ref="E8:E10"/>
    <mergeCell ref="F8:I8"/>
    <mergeCell ref="F9:G9"/>
    <mergeCell ref="H9:H10"/>
    <mergeCell ref="I9:I10"/>
    <mergeCell ref="A51:A53"/>
    <mergeCell ref="B51:B53"/>
    <mergeCell ref="C51:C53"/>
    <mergeCell ref="D51:D53"/>
    <mergeCell ref="E51:E53"/>
    <mergeCell ref="F51:I51"/>
    <mergeCell ref="F52:G52"/>
    <mergeCell ref="H52:H53"/>
    <mergeCell ref="I52:I53"/>
    <mergeCell ref="A59:J59"/>
    <mergeCell ref="A60:A61"/>
    <mergeCell ref="B60:C61"/>
    <mergeCell ref="D60:D61"/>
    <mergeCell ref="E60:E61"/>
    <mergeCell ref="F60:H60"/>
    <mergeCell ref="I60:I61"/>
    <mergeCell ref="J60:J61"/>
    <mergeCell ref="A62:A66"/>
    <mergeCell ref="B62:C62"/>
    <mergeCell ref="B63:C63"/>
    <mergeCell ref="A67:A71"/>
    <mergeCell ref="B67:C67"/>
    <mergeCell ref="B68:C68"/>
    <mergeCell ref="B69:C69"/>
    <mergeCell ref="B70:C70"/>
    <mergeCell ref="B71:C71"/>
    <mergeCell ref="B73:H73"/>
    <mergeCell ref="B64:C64"/>
    <mergeCell ref="B65:C65"/>
    <mergeCell ref="B66:C66"/>
  </mergeCells>
  <printOptions/>
  <pageMargins left="0.75" right="0.75" top="1" bottom="1" header="0.5" footer="0.5"/>
  <pageSetup horizontalDpi="600" verticalDpi="600" orientation="portrait" paperSize="9" scale="38" r:id="rId1"/>
  <rowBreaks count="2" manualBreakCount="2">
    <brk id="74" max="255" man="1"/>
    <brk id="17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268"/>
  <sheetViews>
    <sheetView view="pageBreakPreview" zoomScale="60" workbookViewId="0" topLeftCell="A1">
      <selection activeCell="A1" sqref="A1:IV16384"/>
    </sheetView>
  </sheetViews>
  <sheetFormatPr defaultColWidth="9.00390625" defaultRowHeight="12.75"/>
  <cols>
    <col min="1" max="1" width="42.75390625" style="52" customWidth="1"/>
    <col min="2" max="2" width="11.125" style="52" customWidth="1"/>
    <col min="3" max="5" width="14.75390625" style="33" customWidth="1"/>
    <col min="6" max="6" width="15.75390625" style="33" customWidth="1"/>
    <col min="7" max="7" width="12.25390625" style="33" customWidth="1"/>
    <col min="8" max="8" width="13.375" style="33" customWidth="1"/>
    <col min="9" max="9" width="13.625" style="33" customWidth="1"/>
    <col min="10" max="10" width="14.75390625" style="33" customWidth="1"/>
    <col min="11" max="16384" width="9.125" style="33" customWidth="1"/>
  </cols>
  <sheetData>
    <row r="1" spans="1:10" ht="15.75">
      <c r="A1" s="31"/>
      <c r="B1" s="31"/>
      <c r="C1" s="32"/>
      <c r="D1" s="32"/>
      <c r="E1" s="32"/>
      <c r="F1" s="434" t="s">
        <v>287</v>
      </c>
      <c r="G1" s="434"/>
      <c r="H1" s="434"/>
      <c r="I1" s="434"/>
      <c r="J1" s="434"/>
    </row>
    <row r="2" spans="1:10" ht="24.75" customHeight="1">
      <c r="A2" s="403" t="s">
        <v>173</v>
      </c>
      <c r="B2" s="403"/>
      <c r="C2" s="403"/>
      <c r="D2" s="403"/>
      <c r="E2" s="403"/>
      <c r="F2" s="403"/>
      <c r="G2" s="403"/>
      <c r="H2" s="403"/>
      <c r="I2" s="403"/>
      <c r="J2" s="403"/>
    </row>
    <row r="3" spans="1:10" ht="14.25" customHeight="1">
      <c r="A3" s="435" t="s">
        <v>263</v>
      </c>
      <c r="B3" s="435"/>
      <c r="C3" s="435"/>
      <c r="D3" s="435"/>
      <c r="E3" s="435"/>
      <c r="F3" s="435"/>
      <c r="G3" s="435"/>
      <c r="H3" s="435"/>
      <c r="I3" s="435"/>
      <c r="J3" s="435"/>
    </row>
    <row r="4" spans="1:8" ht="14.25" customHeight="1">
      <c r="A4" s="34"/>
      <c r="B4" s="34"/>
      <c r="C4" s="403" t="s">
        <v>281</v>
      </c>
      <c r="D4" s="403"/>
      <c r="E4" s="403"/>
      <c r="F4" s="403"/>
      <c r="G4" s="34"/>
      <c r="H4" s="34"/>
    </row>
    <row r="5" spans="1:10" ht="7.5" customHeight="1">
      <c r="A5" s="436" t="s">
        <v>264</v>
      </c>
      <c r="B5" s="436"/>
      <c r="C5" s="436"/>
      <c r="D5" s="436"/>
      <c r="E5" s="436"/>
      <c r="F5" s="436"/>
      <c r="G5" s="436"/>
      <c r="H5" s="436"/>
      <c r="I5" s="436"/>
      <c r="J5" s="436"/>
    </row>
    <row r="6" spans="1:10" ht="15.75">
      <c r="A6" s="435" t="s">
        <v>174</v>
      </c>
      <c r="B6" s="435"/>
      <c r="C6" s="435"/>
      <c r="D6" s="435"/>
      <c r="E6" s="435"/>
      <c r="F6" s="435"/>
      <c r="G6" s="435"/>
      <c r="H6" s="435"/>
      <c r="I6" s="435"/>
      <c r="J6" s="435"/>
    </row>
    <row r="7" spans="1:8" ht="13.5" thickBot="1">
      <c r="A7" s="437"/>
      <c r="B7" s="437"/>
      <c r="C7" s="437"/>
      <c r="D7" s="437"/>
      <c r="E7" s="437"/>
      <c r="F7" s="437"/>
      <c r="G7" s="437"/>
      <c r="H7" s="437"/>
    </row>
    <row r="8" spans="1:9" ht="18.75" customHeight="1">
      <c r="A8" s="438" t="s">
        <v>175</v>
      </c>
      <c r="B8" s="430" t="s">
        <v>176</v>
      </c>
      <c r="C8" s="417" t="s">
        <v>265</v>
      </c>
      <c r="D8" s="417" t="s">
        <v>342</v>
      </c>
      <c r="E8" s="417" t="s">
        <v>343</v>
      </c>
      <c r="F8" s="420" t="s">
        <v>177</v>
      </c>
      <c r="G8" s="413"/>
      <c r="H8" s="413"/>
      <c r="I8" s="414"/>
    </row>
    <row r="9" spans="1:9" ht="18.75" customHeight="1">
      <c r="A9" s="439"/>
      <c r="B9" s="418"/>
      <c r="C9" s="418"/>
      <c r="D9" s="418"/>
      <c r="E9" s="418"/>
      <c r="F9" s="421">
        <v>2015</v>
      </c>
      <c r="G9" s="422"/>
      <c r="H9" s="423" t="s">
        <v>241</v>
      </c>
      <c r="I9" s="424" t="s">
        <v>330</v>
      </c>
    </row>
    <row r="10" spans="1:9" ht="16.5" customHeight="1">
      <c r="A10" s="439"/>
      <c r="B10" s="418"/>
      <c r="C10" s="419"/>
      <c r="D10" s="419"/>
      <c r="E10" s="419"/>
      <c r="F10" s="204" t="s">
        <v>79</v>
      </c>
      <c r="G10" s="229" t="s">
        <v>2</v>
      </c>
      <c r="H10" s="411"/>
      <c r="I10" s="409"/>
    </row>
    <row r="11" spans="1:9" ht="31.5" customHeight="1">
      <c r="A11" s="145" t="s">
        <v>353</v>
      </c>
      <c r="B11" s="53" t="s">
        <v>12</v>
      </c>
      <c r="C11" s="54" t="s">
        <v>354</v>
      </c>
      <c r="D11" s="54" t="s">
        <v>355</v>
      </c>
      <c r="E11" s="54" t="s">
        <v>356</v>
      </c>
      <c r="F11" s="54" t="s">
        <v>357</v>
      </c>
      <c r="G11" s="54" t="s">
        <v>357</v>
      </c>
      <c r="H11" s="54" t="s">
        <v>357</v>
      </c>
      <c r="I11" s="54" t="s">
        <v>357</v>
      </c>
    </row>
    <row r="12" spans="1:9" ht="33" customHeight="1">
      <c r="A12" s="145" t="s">
        <v>179</v>
      </c>
      <c r="B12" s="53" t="s">
        <v>12</v>
      </c>
      <c r="C12" s="54">
        <v>70</v>
      </c>
      <c r="D12" s="54">
        <v>71</v>
      </c>
      <c r="E12" s="54">
        <v>73</v>
      </c>
      <c r="F12" s="54">
        <v>73</v>
      </c>
      <c r="G12" s="54">
        <v>73</v>
      </c>
      <c r="H12" s="54">
        <v>74</v>
      </c>
      <c r="I12" s="54">
        <v>75</v>
      </c>
    </row>
    <row r="13" spans="1:9" ht="36.75" customHeight="1">
      <c r="A13" s="145" t="s">
        <v>180</v>
      </c>
      <c r="B13" s="53" t="s">
        <v>181</v>
      </c>
      <c r="C13" s="240">
        <v>1600000</v>
      </c>
      <c r="D13" s="240">
        <v>1704104</v>
      </c>
      <c r="E13" s="240">
        <v>1515432</v>
      </c>
      <c r="F13" s="240">
        <v>1515500</v>
      </c>
      <c r="G13" s="240">
        <v>1515500</v>
      </c>
      <c r="H13" s="240">
        <v>1515800</v>
      </c>
      <c r="I13" s="240">
        <v>1515800</v>
      </c>
    </row>
    <row r="14" spans="1:9" ht="27" customHeight="1">
      <c r="A14" s="145" t="s">
        <v>182</v>
      </c>
      <c r="B14" s="53" t="s">
        <v>181</v>
      </c>
      <c r="C14" s="240">
        <f>C16</f>
        <v>140284</v>
      </c>
      <c r="D14" s="240">
        <f aca="true" t="shared" si="0" ref="D14:I14">D16</f>
        <v>114415</v>
      </c>
      <c r="E14" s="240">
        <f t="shared" si="0"/>
        <v>155130</v>
      </c>
      <c r="F14" s="240">
        <f t="shared" si="0"/>
        <v>143390</v>
      </c>
      <c r="G14" s="240">
        <f t="shared" si="0"/>
        <v>116585</v>
      </c>
      <c r="H14" s="240">
        <f t="shared" si="0"/>
        <v>341996</v>
      </c>
      <c r="I14" s="240">
        <f t="shared" si="0"/>
        <v>347100</v>
      </c>
    </row>
    <row r="15" spans="1:9" ht="21" customHeight="1">
      <c r="A15" s="146" t="s">
        <v>15</v>
      </c>
      <c r="B15" s="53"/>
      <c r="C15" s="64"/>
      <c r="D15" s="64"/>
      <c r="E15" s="64"/>
      <c r="F15" s="64"/>
      <c r="G15" s="64"/>
      <c r="H15" s="64"/>
      <c r="I15" s="64"/>
    </row>
    <row r="16" spans="1:9" ht="21.75" customHeight="1">
      <c r="A16" s="146" t="s">
        <v>209</v>
      </c>
      <c r="B16" s="53" t="s">
        <v>181</v>
      </c>
      <c r="C16" s="55">
        <v>140284</v>
      </c>
      <c r="D16" s="55">
        <v>114415</v>
      </c>
      <c r="E16" s="55">
        <v>155130</v>
      </c>
      <c r="F16" s="55">
        <v>143390</v>
      </c>
      <c r="G16" s="55">
        <v>116585</v>
      </c>
      <c r="H16" s="55">
        <v>341996</v>
      </c>
      <c r="I16" s="55">
        <v>347100</v>
      </c>
    </row>
    <row r="17" spans="1:9" ht="21.75" customHeight="1">
      <c r="A17" s="146" t="s">
        <v>210</v>
      </c>
      <c r="B17" s="53" t="s">
        <v>181</v>
      </c>
      <c r="C17" s="64"/>
      <c r="D17" s="64"/>
      <c r="E17" s="64"/>
      <c r="F17" s="64"/>
      <c r="G17" s="64"/>
      <c r="H17" s="64"/>
      <c r="I17" s="64"/>
    </row>
    <row r="18" spans="1:9" ht="21" customHeight="1">
      <c r="A18" s="146" t="s">
        <v>211</v>
      </c>
      <c r="B18" s="53" t="s">
        <v>181</v>
      </c>
      <c r="C18" s="64"/>
      <c r="D18" s="64"/>
      <c r="E18" s="64"/>
      <c r="F18" s="64"/>
      <c r="G18" s="64"/>
      <c r="H18" s="64"/>
      <c r="I18" s="64"/>
    </row>
    <row r="19" spans="1:9" ht="23.25" customHeight="1">
      <c r="A19" s="146" t="s">
        <v>212</v>
      </c>
      <c r="B19" s="53" t="s">
        <v>181</v>
      </c>
      <c r="C19" s="64"/>
      <c r="D19" s="64"/>
      <c r="E19" s="64"/>
      <c r="F19" s="64"/>
      <c r="G19" s="64"/>
      <c r="H19" s="64"/>
      <c r="I19" s="64"/>
    </row>
    <row r="20" spans="1:9" ht="21.75" customHeight="1">
      <c r="A20" s="146" t="s">
        <v>213</v>
      </c>
      <c r="B20" s="53" t="s">
        <v>181</v>
      </c>
      <c r="C20" s="64"/>
      <c r="D20" s="64"/>
      <c r="E20" s="64"/>
      <c r="F20" s="64"/>
      <c r="G20" s="64"/>
      <c r="H20" s="64"/>
      <c r="I20" s="64"/>
    </row>
    <row r="21" spans="1:9" ht="20.25" customHeight="1">
      <c r="A21" s="146" t="s">
        <v>214</v>
      </c>
      <c r="B21" s="53" t="s">
        <v>181</v>
      </c>
      <c r="C21" s="64"/>
      <c r="D21" s="64"/>
      <c r="E21" s="64"/>
      <c r="F21" s="64"/>
      <c r="G21" s="64"/>
      <c r="H21" s="64"/>
      <c r="I21" s="64"/>
    </row>
    <row r="22" spans="1:9" ht="41.25" customHeight="1">
      <c r="A22" s="145" t="s">
        <v>183</v>
      </c>
      <c r="B22" s="53" t="s">
        <v>181</v>
      </c>
      <c r="C22" s="401" t="s">
        <v>282</v>
      </c>
      <c r="D22" s="401"/>
      <c r="E22" s="401"/>
      <c r="F22" s="401"/>
      <c r="G22" s="401"/>
      <c r="H22" s="401"/>
      <c r="I22" s="401"/>
    </row>
    <row r="23" spans="1:9" ht="35.25" customHeight="1">
      <c r="A23" s="59" t="s">
        <v>184</v>
      </c>
      <c r="B23" s="53" t="s">
        <v>12</v>
      </c>
      <c r="C23" s="54"/>
      <c r="D23" s="54"/>
      <c r="E23" s="54"/>
      <c r="F23" s="54"/>
      <c r="G23" s="54"/>
      <c r="H23" s="54"/>
      <c r="I23" s="54"/>
    </row>
    <row r="24" spans="1:9" ht="36.75" customHeight="1">
      <c r="A24" s="145" t="s">
        <v>185</v>
      </c>
      <c r="B24" s="53" t="s">
        <v>181</v>
      </c>
      <c r="C24" s="401" t="s">
        <v>282</v>
      </c>
      <c r="D24" s="401"/>
      <c r="E24" s="401"/>
      <c r="F24" s="401"/>
      <c r="G24" s="401"/>
      <c r="H24" s="401"/>
      <c r="I24" s="401"/>
    </row>
    <row r="25" spans="1:9" ht="43.5" customHeight="1">
      <c r="A25" s="145" t="s">
        <v>186</v>
      </c>
      <c r="B25" s="53" t="s">
        <v>181</v>
      </c>
      <c r="C25" s="54"/>
      <c r="D25" s="54"/>
      <c r="E25" s="54"/>
      <c r="F25" s="54"/>
      <c r="G25" s="54"/>
      <c r="H25" s="54"/>
      <c r="I25" s="54"/>
    </row>
    <row r="26" spans="1:9" ht="34.5" customHeight="1">
      <c r="A26" s="145" t="s">
        <v>187</v>
      </c>
      <c r="B26" s="53" t="s">
        <v>13</v>
      </c>
      <c r="C26" s="54"/>
      <c r="D26" s="54"/>
      <c r="E26" s="54"/>
      <c r="F26" s="54"/>
      <c r="G26" s="54"/>
      <c r="H26" s="54"/>
      <c r="I26" s="54"/>
    </row>
    <row r="27" spans="1:9" ht="30.75" customHeight="1">
      <c r="A27" s="145" t="s">
        <v>188</v>
      </c>
      <c r="B27" s="53"/>
      <c r="C27" s="54"/>
      <c r="D27" s="54"/>
      <c r="E27" s="54"/>
      <c r="F27" s="54"/>
      <c r="G27" s="54"/>
      <c r="H27" s="54"/>
      <c r="I27" s="54"/>
    </row>
    <row r="28" spans="1:9" ht="15.75">
      <c r="A28" s="59" t="s">
        <v>189</v>
      </c>
      <c r="B28" s="53" t="s">
        <v>12</v>
      </c>
      <c r="C28" s="54"/>
      <c r="D28" s="54"/>
      <c r="E28" s="54"/>
      <c r="F28" s="54"/>
      <c r="G28" s="54"/>
      <c r="H28" s="54"/>
      <c r="I28" s="54"/>
    </row>
    <row r="29" spans="1:9" ht="15.75">
      <c r="A29" s="59" t="s">
        <v>190</v>
      </c>
      <c r="B29" s="53" t="s">
        <v>12</v>
      </c>
      <c r="C29" s="54"/>
      <c r="D29" s="54"/>
      <c r="E29" s="54"/>
      <c r="F29" s="54"/>
      <c r="G29" s="54"/>
      <c r="H29" s="54"/>
      <c r="I29" s="54"/>
    </row>
    <row r="30" spans="1:9" ht="15.75">
      <c r="A30" s="59" t="s">
        <v>191</v>
      </c>
      <c r="B30" s="53" t="s">
        <v>12</v>
      </c>
      <c r="C30" s="54"/>
      <c r="D30" s="54"/>
      <c r="E30" s="54"/>
      <c r="F30" s="54"/>
      <c r="G30" s="54"/>
      <c r="H30" s="54"/>
      <c r="I30" s="54"/>
    </row>
    <row r="31" spans="1:9" ht="15.75">
      <c r="A31" s="59" t="s">
        <v>192</v>
      </c>
      <c r="B31" s="53" t="s">
        <v>12</v>
      </c>
      <c r="C31" s="54"/>
      <c r="D31" s="54"/>
      <c r="E31" s="54"/>
      <c r="F31" s="54"/>
      <c r="G31" s="54"/>
      <c r="H31" s="54"/>
      <c r="I31" s="54"/>
    </row>
    <row r="32" spans="1:9" ht="34.5" customHeight="1">
      <c r="A32" s="145" t="s">
        <v>193</v>
      </c>
      <c r="B32" s="53"/>
      <c r="C32" s="54"/>
      <c r="D32" s="54"/>
      <c r="E32" s="54"/>
      <c r="F32" s="54"/>
      <c r="G32" s="54"/>
      <c r="H32" s="54"/>
      <c r="I32" s="54"/>
    </row>
    <row r="33" spans="1:9" ht="15.75">
      <c r="A33" s="147" t="s">
        <v>194</v>
      </c>
      <c r="B33" s="53" t="s">
        <v>181</v>
      </c>
      <c r="C33" s="54">
        <v>36829</v>
      </c>
      <c r="D33" s="54">
        <v>37420</v>
      </c>
      <c r="E33" s="54">
        <v>38500</v>
      </c>
      <c r="F33" s="54">
        <v>39611</v>
      </c>
      <c r="G33" s="54">
        <v>39611</v>
      </c>
      <c r="H33" s="54">
        <v>40720</v>
      </c>
      <c r="I33" s="54">
        <v>41860</v>
      </c>
    </row>
    <row r="34" spans="1:9" ht="15.75">
      <c r="A34" s="147" t="s">
        <v>195</v>
      </c>
      <c r="B34" s="53" t="s">
        <v>181</v>
      </c>
      <c r="C34" s="54">
        <v>35693</v>
      </c>
      <c r="D34" s="54">
        <v>38075</v>
      </c>
      <c r="E34" s="54">
        <v>38000</v>
      </c>
      <c r="F34" s="54">
        <v>39064</v>
      </c>
      <c r="G34" s="54">
        <v>39064</v>
      </c>
      <c r="H34" s="54">
        <v>40158</v>
      </c>
      <c r="I34" s="54">
        <v>41280</v>
      </c>
    </row>
    <row r="35" spans="1:9" ht="31.5">
      <c r="A35" s="59" t="s">
        <v>196</v>
      </c>
      <c r="B35" s="53" t="s">
        <v>181</v>
      </c>
      <c r="C35" s="54"/>
      <c r="D35" s="54"/>
      <c r="E35" s="54"/>
      <c r="F35" s="54"/>
      <c r="G35" s="54"/>
      <c r="H35" s="54"/>
      <c r="I35" s="54"/>
    </row>
    <row r="36" spans="1:9" ht="15.75">
      <c r="A36" s="147" t="s">
        <v>194</v>
      </c>
      <c r="B36" s="53" t="s">
        <v>181</v>
      </c>
      <c r="C36" s="54"/>
      <c r="D36" s="54"/>
      <c r="E36" s="54"/>
      <c r="F36" s="54"/>
      <c r="G36" s="54"/>
      <c r="H36" s="54"/>
      <c r="I36" s="54"/>
    </row>
    <row r="37" spans="1:9" ht="15.75">
      <c r="A37" s="147" t="s">
        <v>195</v>
      </c>
      <c r="B37" s="53" t="s">
        <v>181</v>
      </c>
      <c r="C37" s="54"/>
      <c r="D37" s="54"/>
      <c r="E37" s="54"/>
      <c r="F37" s="54"/>
      <c r="G37" s="54"/>
      <c r="H37" s="54"/>
      <c r="I37" s="54"/>
    </row>
    <row r="38" spans="1:9" ht="33" customHeight="1">
      <c r="A38" s="145" t="s">
        <v>197</v>
      </c>
      <c r="B38" s="53" t="s">
        <v>181</v>
      </c>
      <c r="C38" s="54"/>
      <c r="D38" s="54"/>
      <c r="E38" s="54"/>
      <c r="F38" s="54"/>
      <c r="G38" s="54"/>
      <c r="H38" s="54"/>
      <c r="I38" s="54"/>
    </row>
    <row r="39" spans="1:9" ht="15.75">
      <c r="A39" s="59" t="s">
        <v>198</v>
      </c>
      <c r="B39" s="53"/>
      <c r="C39" s="54"/>
      <c r="D39" s="54"/>
      <c r="E39" s="54"/>
      <c r="F39" s="54"/>
      <c r="G39" s="54"/>
      <c r="H39" s="54"/>
      <c r="I39" s="54"/>
    </row>
    <row r="40" spans="1:9" ht="15.75">
      <c r="A40" s="147" t="s">
        <v>199</v>
      </c>
      <c r="B40" s="53" t="s">
        <v>181</v>
      </c>
      <c r="C40" s="54"/>
      <c r="D40" s="54"/>
      <c r="E40" s="54"/>
      <c r="F40" s="54"/>
      <c r="G40" s="54"/>
      <c r="H40" s="54"/>
      <c r="I40" s="54"/>
    </row>
    <row r="41" spans="1:9" ht="15.75">
      <c r="A41" s="147" t="s">
        <v>200</v>
      </c>
      <c r="B41" s="53" t="s">
        <v>181</v>
      </c>
      <c r="C41" s="54"/>
      <c r="D41" s="54"/>
      <c r="E41" s="54"/>
      <c r="F41" s="54"/>
      <c r="G41" s="54"/>
      <c r="H41" s="54"/>
      <c r="I41" s="54"/>
    </row>
    <row r="42" spans="1:9" ht="15.75">
      <c r="A42" s="147" t="s">
        <v>201</v>
      </c>
      <c r="B42" s="53" t="s">
        <v>181</v>
      </c>
      <c r="C42" s="54"/>
      <c r="D42" s="54"/>
      <c r="E42" s="54"/>
      <c r="F42" s="54"/>
      <c r="G42" s="54"/>
      <c r="H42" s="54"/>
      <c r="I42" s="54"/>
    </row>
    <row r="43" spans="1:9" ht="32.25" customHeight="1">
      <c r="A43" s="145" t="s">
        <v>202</v>
      </c>
      <c r="B43" s="53" t="s">
        <v>203</v>
      </c>
      <c r="C43" s="240">
        <v>396</v>
      </c>
      <c r="D43" s="240">
        <v>400</v>
      </c>
      <c r="E43" s="240">
        <v>400</v>
      </c>
      <c r="F43" s="240">
        <v>400</v>
      </c>
      <c r="G43" s="240">
        <v>400</v>
      </c>
      <c r="H43" s="240">
        <v>400</v>
      </c>
      <c r="I43" s="240">
        <v>400</v>
      </c>
    </row>
    <row r="44" spans="1:9" ht="32.25" customHeight="1">
      <c r="A44" s="145" t="s">
        <v>204</v>
      </c>
      <c r="B44" s="53" t="s">
        <v>14</v>
      </c>
      <c r="C44" s="64"/>
      <c r="D44" s="64"/>
      <c r="E44" s="64"/>
      <c r="F44" s="64"/>
      <c r="G44" s="64"/>
      <c r="H44" s="64"/>
      <c r="I44" s="64"/>
    </row>
    <row r="45" spans="1:9" ht="34.5" customHeight="1">
      <c r="A45" s="145" t="s">
        <v>205</v>
      </c>
      <c r="B45" s="53" t="s">
        <v>181</v>
      </c>
      <c r="C45" s="240">
        <v>185771.2</v>
      </c>
      <c r="D45" s="240">
        <v>205456</v>
      </c>
      <c r="E45" s="240">
        <v>219222</v>
      </c>
      <c r="F45" s="240">
        <v>230402</v>
      </c>
      <c r="G45" s="240">
        <v>230402</v>
      </c>
      <c r="H45" s="240">
        <v>241231</v>
      </c>
      <c r="I45" s="240">
        <v>251845</v>
      </c>
    </row>
    <row r="46" spans="1:9" ht="34.5" customHeight="1">
      <c r="A46" s="145" t="s">
        <v>206</v>
      </c>
      <c r="B46" s="53" t="s">
        <v>181</v>
      </c>
      <c r="C46" s="55">
        <v>0</v>
      </c>
      <c r="D46" s="55">
        <v>0</v>
      </c>
      <c r="E46" s="55">
        <v>0</v>
      </c>
      <c r="F46" s="55">
        <v>0</v>
      </c>
      <c r="G46" s="55">
        <v>0</v>
      </c>
      <c r="H46" s="55">
        <v>0</v>
      </c>
      <c r="I46" s="55">
        <v>0</v>
      </c>
    </row>
    <row r="47" spans="1:10" ht="13.5" customHeight="1">
      <c r="A47" s="47"/>
      <c r="B47" s="34"/>
      <c r="C47" s="48"/>
      <c r="D47" s="48"/>
      <c r="E47" s="48"/>
      <c r="F47" s="48"/>
      <c r="G47" s="48"/>
      <c r="H47" s="48"/>
      <c r="I47" s="48"/>
      <c r="J47" s="48"/>
    </row>
    <row r="48" spans="1:10" ht="19.5" customHeight="1" thickBot="1">
      <c r="A48" s="49"/>
      <c r="B48" s="50"/>
      <c r="C48" s="32"/>
      <c r="D48" s="32"/>
      <c r="E48" s="32"/>
      <c r="F48" s="32"/>
      <c r="G48" s="32"/>
      <c r="H48" s="32"/>
      <c r="I48" s="32"/>
      <c r="J48" s="32"/>
    </row>
    <row r="49" spans="1:9" ht="15.75" customHeight="1">
      <c r="A49" s="450" t="s">
        <v>207</v>
      </c>
      <c r="B49" s="430" t="s">
        <v>176</v>
      </c>
      <c r="C49" s="417" t="s">
        <v>265</v>
      </c>
      <c r="D49" s="417" t="s">
        <v>342</v>
      </c>
      <c r="E49" s="417" t="s">
        <v>343</v>
      </c>
      <c r="F49" s="420" t="s">
        <v>177</v>
      </c>
      <c r="G49" s="413"/>
      <c r="H49" s="413"/>
      <c r="I49" s="414"/>
    </row>
    <row r="50" spans="1:9" ht="15.75" customHeight="1">
      <c r="A50" s="451"/>
      <c r="B50" s="418"/>
      <c r="C50" s="418"/>
      <c r="D50" s="418"/>
      <c r="E50" s="418"/>
      <c r="F50" s="421">
        <v>2015</v>
      </c>
      <c r="G50" s="422"/>
      <c r="H50" s="423" t="s">
        <v>241</v>
      </c>
      <c r="I50" s="424" t="s">
        <v>330</v>
      </c>
    </row>
    <row r="51" spans="1:9" ht="18.75" customHeight="1">
      <c r="A51" s="451"/>
      <c r="B51" s="418"/>
      <c r="C51" s="419"/>
      <c r="D51" s="419"/>
      <c r="E51" s="419"/>
      <c r="F51" s="204" t="s">
        <v>79</v>
      </c>
      <c r="G51" s="229" t="s">
        <v>2</v>
      </c>
      <c r="H51" s="411"/>
      <c r="I51" s="409"/>
    </row>
    <row r="52" spans="1:9" ht="31.5">
      <c r="A52" s="59" t="s">
        <v>359</v>
      </c>
      <c r="B52" s="53" t="s">
        <v>360</v>
      </c>
      <c r="C52" s="55">
        <v>950646.865</v>
      </c>
      <c r="D52" s="55">
        <v>840754.612</v>
      </c>
      <c r="E52" s="55">
        <v>732531</v>
      </c>
      <c r="F52" s="55">
        <v>740408</v>
      </c>
      <c r="G52" s="55">
        <v>740408</v>
      </c>
      <c r="H52" s="55">
        <v>740408</v>
      </c>
      <c r="I52" s="55">
        <v>740408</v>
      </c>
    </row>
    <row r="53" spans="1:9" ht="22.5" customHeight="1">
      <c r="A53" s="59" t="s">
        <v>358</v>
      </c>
      <c r="B53" s="59" t="s">
        <v>64</v>
      </c>
      <c r="C53" s="55">
        <v>1633.252</v>
      </c>
      <c r="D53" s="55">
        <v>1556.536</v>
      </c>
      <c r="E53" s="55">
        <v>1607.598</v>
      </c>
      <c r="F53" s="55">
        <v>1573.772</v>
      </c>
      <c r="G53" s="55">
        <v>1573.772</v>
      </c>
      <c r="H53" s="55">
        <v>1573.772</v>
      </c>
      <c r="I53" s="55">
        <v>1573.772</v>
      </c>
    </row>
    <row r="54" spans="1:10" s="148" customFormat="1" ht="22.5" customHeight="1">
      <c r="A54" s="57"/>
      <c r="B54" s="57"/>
      <c r="C54" s="48"/>
      <c r="D54" s="48"/>
      <c r="E54" s="48"/>
      <c r="F54" s="48"/>
      <c r="G54" s="48"/>
      <c r="H54" s="48"/>
      <c r="I54" s="48"/>
      <c r="J54" s="48"/>
    </row>
    <row r="55" spans="1:10" s="148" customFormat="1" ht="22.5" customHeight="1" thickBot="1">
      <c r="A55" s="403" t="s">
        <v>367</v>
      </c>
      <c r="B55" s="403"/>
      <c r="C55" s="403"/>
      <c r="D55" s="403"/>
      <c r="E55" s="403"/>
      <c r="F55" s="403"/>
      <c r="G55" s="403"/>
      <c r="H55" s="403"/>
      <c r="I55" s="403"/>
      <c r="J55" s="403"/>
    </row>
    <row r="56" spans="1:10" s="148" customFormat="1" ht="63.75" customHeight="1">
      <c r="A56" s="404" t="s">
        <v>270</v>
      </c>
      <c r="B56" s="406" t="s">
        <v>271</v>
      </c>
      <c r="C56" s="407"/>
      <c r="D56" s="410" t="s">
        <v>272</v>
      </c>
      <c r="E56" s="410" t="s">
        <v>273</v>
      </c>
      <c r="F56" s="412" t="s">
        <v>274</v>
      </c>
      <c r="G56" s="413"/>
      <c r="H56" s="414"/>
      <c r="I56" s="410" t="s">
        <v>275</v>
      </c>
      <c r="J56" s="415" t="s">
        <v>108</v>
      </c>
    </row>
    <row r="57" spans="1:10" s="148" customFormat="1" ht="36.75" customHeight="1" thickBot="1">
      <c r="A57" s="445"/>
      <c r="B57" s="446"/>
      <c r="C57" s="447"/>
      <c r="D57" s="448"/>
      <c r="E57" s="448"/>
      <c r="F57" s="151" t="s">
        <v>283</v>
      </c>
      <c r="G57" s="151" t="s">
        <v>284</v>
      </c>
      <c r="H57" s="151" t="s">
        <v>278</v>
      </c>
      <c r="I57" s="448"/>
      <c r="J57" s="449"/>
    </row>
    <row r="58" spans="1:10" s="148" customFormat="1" ht="36.75" customHeight="1">
      <c r="A58" s="442" t="s">
        <v>285</v>
      </c>
      <c r="B58" s="401" t="s">
        <v>368</v>
      </c>
      <c r="C58" s="401"/>
      <c r="D58" s="202">
        <f>D59+D60+D61+D62</f>
        <v>960.811</v>
      </c>
      <c r="E58" s="152"/>
      <c r="F58" s="152"/>
      <c r="G58" s="152"/>
      <c r="H58" s="152"/>
      <c r="I58" s="152"/>
      <c r="J58" s="153"/>
    </row>
    <row r="59" spans="1:10" s="148" customFormat="1" ht="22.5" customHeight="1">
      <c r="A59" s="443"/>
      <c r="B59" s="401">
        <v>2014</v>
      </c>
      <c r="C59" s="401">
        <v>2013</v>
      </c>
      <c r="D59" s="202">
        <v>155.13</v>
      </c>
      <c r="E59" s="154"/>
      <c r="F59" s="154"/>
      <c r="G59" s="154"/>
      <c r="H59" s="154"/>
      <c r="I59" s="154"/>
      <c r="J59" s="155"/>
    </row>
    <row r="60" spans="1:10" s="148" customFormat="1" ht="22.5" customHeight="1">
      <c r="A60" s="443"/>
      <c r="B60" s="401">
        <v>2015</v>
      </c>
      <c r="C60" s="401">
        <v>2014</v>
      </c>
      <c r="D60" s="202">
        <v>116.585</v>
      </c>
      <c r="E60" s="64"/>
      <c r="F60" s="64"/>
      <c r="G60" s="64"/>
      <c r="H60" s="64"/>
      <c r="I60" s="64"/>
      <c r="J60" s="156"/>
    </row>
    <row r="61" spans="1:10" s="148" customFormat="1" ht="22.5" customHeight="1">
      <c r="A61" s="443"/>
      <c r="B61" s="401">
        <v>2016</v>
      </c>
      <c r="C61" s="401">
        <v>2015</v>
      </c>
      <c r="D61" s="202">
        <v>341.996</v>
      </c>
      <c r="E61" s="64"/>
      <c r="F61" s="64"/>
      <c r="G61" s="64"/>
      <c r="H61" s="64"/>
      <c r="I61" s="64"/>
      <c r="J61" s="156"/>
    </row>
    <row r="62" spans="1:10" s="148" customFormat="1" ht="22.5" customHeight="1">
      <c r="A62" s="444"/>
      <c r="B62" s="401">
        <v>2017</v>
      </c>
      <c r="C62" s="401">
        <v>2016</v>
      </c>
      <c r="D62" s="202">
        <v>347.1</v>
      </c>
      <c r="E62" s="64"/>
      <c r="F62" s="64"/>
      <c r="G62" s="64"/>
      <c r="H62" s="64"/>
      <c r="I62" s="64"/>
      <c r="J62" s="156"/>
    </row>
    <row r="63" spans="1:10" s="148" customFormat="1" ht="22.5" customHeight="1">
      <c r="A63" s="50" t="s">
        <v>279</v>
      </c>
      <c r="B63" s="440" t="s">
        <v>286</v>
      </c>
      <c r="C63" s="440"/>
      <c r="D63" s="440"/>
      <c r="E63" s="440"/>
      <c r="F63" s="440"/>
      <c r="G63" s="440"/>
      <c r="H63" s="440"/>
      <c r="I63" s="33"/>
      <c r="J63" s="33"/>
    </row>
    <row r="64" spans="1:10" s="148" customFormat="1" ht="22.5" customHeight="1">
      <c r="A64" s="57"/>
      <c r="B64" s="57"/>
      <c r="C64" s="48"/>
      <c r="D64" s="48"/>
      <c r="E64" s="48"/>
      <c r="F64" s="48"/>
      <c r="G64" s="48"/>
      <c r="H64" s="48"/>
      <c r="I64" s="48"/>
      <c r="J64" s="48"/>
    </row>
    <row r="65" spans="1:10" s="148" customFormat="1" ht="22.5" customHeight="1">
      <c r="A65" s="57"/>
      <c r="B65" s="57"/>
      <c r="C65" s="48"/>
      <c r="D65" s="48"/>
      <c r="E65" s="48"/>
      <c r="F65" s="48"/>
      <c r="G65" s="48"/>
      <c r="H65" s="48"/>
      <c r="I65" s="48"/>
      <c r="J65" s="48"/>
    </row>
    <row r="66" spans="1:10" s="148" customFormat="1" ht="22.5" customHeight="1">
      <c r="A66" s="57"/>
      <c r="B66" s="57"/>
      <c r="C66" s="48"/>
      <c r="D66" s="48"/>
      <c r="E66" s="48"/>
      <c r="F66" s="48"/>
      <c r="G66" s="48"/>
      <c r="H66" s="48"/>
      <c r="I66" s="48"/>
      <c r="J66" s="48"/>
    </row>
    <row r="67" spans="1:8" ht="27" customHeight="1">
      <c r="A67" s="50"/>
      <c r="B67" s="441"/>
      <c r="C67" s="441"/>
      <c r="D67" s="441"/>
      <c r="E67" s="441"/>
      <c r="F67" s="441"/>
      <c r="G67" s="441"/>
      <c r="H67" s="441"/>
    </row>
    <row r="68" spans="1:8" ht="7.5" customHeight="1">
      <c r="A68" s="51"/>
      <c r="B68" s="157"/>
      <c r="C68" s="158"/>
      <c r="D68" s="158"/>
      <c r="E68" s="158"/>
      <c r="F68" s="158"/>
      <c r="G68" s="158"/>
      <c r="H68" s="158"/>
    </row>
    <row r="69" spans="1:2" ht="12.75">
      <c r="A69" s="51"/>
      <c r="B69" s="51"/>
    </row>
    <row r="70" spans="1:2" ht="12.75">
      <c r="A70" s="51"/>
      <c r="B70" s="51"/>
    </row>
    <row r="71" spans="1:2" ht="12.75">
      <c r="A71" s="51"/>
      <c r="B71" s="51"/>
    </row>
    <row r="72" spans="1:2" ht="12.75">
      <c r="A72" s="51"/>
      <c r="B72" s="51"/>
    </row>
    <row r="73" spans="1:2" ht="12.75">
      <c r="A73" s="51"/>
      <c r="B73" s="51"/>
    </row>
    <row r="74" spans="1:2" ht="12.75">
      <c r="A74" s="51"/>
      <c r="B74" s="51"/>
    </row>
    <row r="75" spans="1:2" ht="12.75">
      <c r="A75" s="51"/>
      <c r="B75" s="51"/>
    </row>
    <row r="76" spans="1:2" ht="12.75">
      <c r="A76" s="51"/>
      <c r="B76" s="51"/>
    </row>
    <row r="77" spans="1:2" ht="12.75">
      <c r="A77" s="51"/>
      <c r="B77" s="51"/>
    </row>
    <row r="78" spans="1:2" ht="12.75">
      <c r="A78" s="51"/>
      <c r="B78" s="51"/>
    </row>
    <row r="79" spans="1:2" ht="12.75">
      <c r="A79" s="51"/>
      <c r="B79" s="51"/>
    </row>
    <row r="80" spans="1:2" ht="12.75">
      <c r="A80" s="51"/>
      <c r="B80" s="51"/>
    </row>
    <row r="81" spans="1:2" ht="12.75">
      <c r="A81" s="51"/>
      <c r="B81" s="51"/>
    </row>
    <row r="82" spans="1:2" ht="12.75">
      <c r="A82" s="51"/>
      <c r="B82" s="51"/>
    </row>
    <row r="83" spans="1:2" ht="12.75">
      <c r="A83" s="51"/>
      <c r="B83" s="51"/>
    </row>
    <row r="84" spans="1:2" ht="12.75">
      <c r="A84" s="51"/>
      <c r="B84" s="51"/>
    </row>
    <row r="85" spans="1:2" ht="12.75">
      <c r="A85" s="51"/>
      <c r="B85" s="51"/>
    </row>
    <row r="86" spans="1:2" ht="12.75">
      <c r="A86" s="51"/>
      <c r="B86" s="51"/>
    </row>
    <row r="87" spans="1:2" ht="12.75">
      <c r="A87" s="51"/>
      <c r="B87" s="51"/>
    </row>
    <row r="88" spans="1:2" ht="12.75">
      <c r="A88" s="51"/>
      <c r="B88" s="51"/>
    </row>
    <row r="89" spans="1:2" ht="12.75">
      <c r="A89" s="51"/>
      <c r="B89" s="51"/>
    </row>
    <row r="90" spans="1:2" ht="12.75">
      <c r="A90" s="51"/>
      <c r="B90" s="51"/>
    </row>
    <row r="91" spans="1:2" ht="12.75">
      <c r="A91" s="51"/>
      <c r="B91" s="51"/>
    </row>
    <row r="92" spans="1:2" ht="12.75">
      <c r="A92" s="51"/>
      <c r="B92" s="51"/>
    </row>
    <row r="93" spans="1:2" ht="12.75">
      <c r="A93" s="51"/>
      <c r="B93" s="51"/>
    </row>
    <row r="94" spans="1:2" ht="12.75">
      <c r="A94" s="51"/>
      <c r="B94" s="51"/>
    </row>
    <row r="95" spans="1:2" ht="12.75">
      <c r="A95" s="51"/>
      <c r="B95" s="51"/>
    </row>
    <row r="96" spans="1:2" ht="12.75">
      <c r="A96" s="51"/>
      <c r="B96" s="51"/>
    </row>
    <row r="97" spans="1:2" ht="12.75">
      <c r="A97" s="51"/>
      <c r="B97" s="51"/>
    </row>
    <row r="98" spans="1:2" ht="12.75">
      <c r="A98" s="51"/>
      <c r="B98" s="51"/>
    </row>
    <row r="99" spans="1:2" ht="12.75">
      <c r="A99" s="51"/>
      <c r="B99" s="51"/>
    </row>
    <row r="100" spans="1:2" ht="12.75">
      <c r="A100" s="51"/>
      <c r="B100" s="51"/>
    </row>
    <row r="101" spans="1:2" ht="12.75">
      <c r="A101" s="51"/>
      <c r="B101" s="51"/>
    </row>
    <row r="102" spans="1:2" ht="12.75">
      <c r="A102" s="51"/>
      <c r="B102" s="51"/>
    </row>
    <row r="103" spans="1:2" ht="12.75">
      <c r="A103" s="51"/>
      <c r="B103" s="51"/>
    </row>
    <row r="104" spans="1:2" ht="12.75">
      <c r="A104" s="51"/>
      <c r="B104" s="51"/>
    </row>
    <row r="105" spans="1:2" ht="12.75">
      <c r="A105" s="51"/>
      <c r="B105" s="51"/>
    </row>
    <row r="106" spans="1:2" ht="12.75">
      <c r="A106" s="51"/>
      <c r="B106" s="51"/>
    </row>
    <row r="107" spans="1:2" ht="12.75">
      <c r="A107" s="51"/>
      <c r="B107" s="51"/>
    </row>
    <row r="108" spans="1:2" ht="12.75">
      <c r="A108" s="51"/>
      <c r="B108" s="51"/>
    </row>
    <row r="109" spans="1:2" ht="12.75">
      <c r="A109" s="51"/>
      <c r="B109" s="51"/>
    </row>
    <row r="110" spans="1:2" ht="12.75">
      <c r="A110" s="51"/>
      <c r="B110" s="51"/>
    </row>
    <row r="111" spans="1:2" ht="12.75">
      <c r="A111" s="51"/>
      <c r="B111" s="51"/>
    </row>
    <row r="112" spans="1:2" ht="12.75">
      <c r="A112" s="51"/>
      <c r="B112" s="51"/>
    </row>
    <row r="113" spans="1:2" ht="12.75">
      <c r="A113" s="51"/>
      <c r="B113" s="51"/>
    </row>
    <row r="114" spans="1:2" ht="12.75">
      <c r="A114" s="51"/>
      <c r="B114" s="51"/>
    </row>
    <row r="115" spans="1:2" ht="12.75">
      <c r="A115" s="51"/>
      <c r="B115" s="51"/>
    </row>
    <row r="116" spans="1:2" ht="12.75">
      <c r="A116" s="51"/>
      <c r="B116" s="51"/>
    </row>
    <row r="117" spans="1:2" ht="12.75">
      <c r="A117" s="51"/>
      <c r="B117" s="51"/>
    </row>
    <row r="118" spans="1:2" ht="12.75">
      <c r="A118" s="51"/>
      <c r="B118" s="51"/>
    </row>
    <row r="119" spans="1:2" ht="12.75">
      <c r="A119" s="51"/>
      <c r="B119" s="51"/>
    </row>
    <row r="120" spans="1:2" ht="12.75">
      <c r="A120" s="51"/>
      <c r="B120" s="51"/>
    </row>
    <row r="121" spans="1:2" ht="12.75">
      <c r="A121" s="51"/>
      <c r="B121" s="51"/>
    </row>
    <row r="122" spans="1:2" ht="12.75">
      <c r="A122" s="51"/>
      <c r="B122" s="51"/>
    </row>
    <row r="123" spans="1:2" ht="12.75">
      <c r="A123" s="51"/>
      <c r="B123" s="51"/>
    </row>
    <row r="124" spans="1:2" ht="12.75">
      <c r="A124" s="51"/>
      <c r="B124" s="51"/>
    </row>
    <row r="125" spans="1:2" ht="12.75">
      <c r="A125" s="51"/>
      <c r="B125" s="51"/>
    </row>
    <row r="126" spans="1:2" ht="12.75">
      <c r="A126" s="51"/>
      <c r="B126" s="51"/>
    </row>
    <row r="127" spans="1:2" ht="12.75">
      <c r="A127" s="51"/>
      <c r="B127" s="51"/>
    </row>
    <row r="128" spans="1:2" ht="12.75">
      <c r="A128" s="51"/>
      <c r="B128" s="51"/>
    </row>
    <row r="129" spans="1:2" ht="12.75">
      <c r="A129" s="51"/>
      <c r="B129" s="51"/>
    </row>
    <row r="130" spans="1:2" ht="12.75">
      <c r="A130" s="51"/>
      <c r="B130" s="51"/>
    </row>
    <row r="131" spans="1:2" ht="12.75">
      <c r="A131" s="51"/>
      <c r="B131" s="51"/>
    </row>
    <row r="132" spans="1:2" ht="12.75">
      <c r="A132" s="51"/>
      <c r="B132" s="51"/>
    </row>
    <row r="133" spans="1:2" ht="12.75">
      <c r="A133" s="51"/>
      <c r="B133" s="51"/>
    </row>
    <row r="134" spans="1:2" ht="12.75">
      <c r="A134" s="51"/>
      <c r="B134" s="51"/>
    </row>
    <row r="135" spans="1:2" ht="12.75">
      <c r="A135" s="51"/>
      <c r="B135" s="51"/>
    </row>
    <row r="136" spans="1:2" ht="12.75">
      <c r="A136" s="51"/>
      <c r="B136" s="51"/>
    </row>
    <row r="137" spans="1:2" ht="12.75">
      <c r="A137" s="51"/>
      <c r="B137" s="51"/>
    </row>
    <row r="138" spans="1:2" ht="12.75">
      <c r="A138" s="51"/>
      <c r="B138" s="51"/>
    </row>
    <row r="139" spans="1:2" ht="12.75">
      <c r="A139" s="51"/>
      <c r="B139" s="51"/>
    </row>
    <row r="140" spans="1:2" ht="12.75">
      <c r="A140" s="51"/>
      <c r="B140" s="51"/>
    </row>
    <row r="141" spans="1:2" ht="12.75">
      <c r="A141" s="51"/>
      <c r="B141" s="51"/>
    </row>
    <row r="142" spans="1:2" ht="12.75">
      <c r="A142" s="51"/>
      <c r="B142" s="51"/>
    </row>
    <row r="143" spans="1:2" ht="12.75">
      <c r="A143" s="51"/>
      <c r="B143" s="51"/>
    </row>
    <row r="144" spans="1:2" ht="12.75">
      <c r="A144" s="51"/>
      <c r="B144" s="51"/>
    </row>
    <row r="145" spans="1:2" ht="12.75">
      <c r="A145" s="51"/>
      <c r="B145" s="51"/>
    </row>
    <row r="146" spans="1:2" ht="12.75">
      <c r="A146" s="51"/>
      <c r="B146" s="51"/>
    </row>
    <row r="147" spans="1:2" ht="12.75">
      <c r="A147" s="51"/>
      <c r="B147" s="51"/>
    </row>
    <row r="148" spans="1:2" ht="12.75">
      <c r="A148" s="51"/>
      <c r="B148" s="51"/>
    </row>
    <row r="149" spans="1:2" ht="12.75">
      <c r="A149" s="51"/>
      <c r="B149" s="51"/>
    </row>
    <row r="150" spans="1:2" ht="12.75">
      <c r="A150" s="51"/>
      <c r="B150" s="51"/>
    </row>
    <row r="151" spans="1:2" ht="12.75">
      <c r="A151" s="51"/>
      <c r="B151" s="51"/>
    </row>
    <row r="152" spans="1:2" ht="12.75">
      <c r="A152" s="51"/>
      <c r="B152" s="51"/>
    </row>
    <row r="153" spans="1:2" ht="12.75">
      <c r="A153" s="51"/>
      <c r="B153" s="51"/>
    </row>
    <row r="154" spans="1:2" ht="12.75">
      <c r="A154" s="51"/>
      <c r="B154" s="51"/>
    </row>
    <row r="155" spans="1:2" ht="12.75">
      <c r="A155" s="51"/>
      <c r="B155" s="51"/>
    </row>
    <row r="156" spans="1:2" ht="12.75">
      <c r="A156" s="51"/>
      <c r="B156" s="51"/>
    </row>
    <row r="157" spans="1:2" ht="12.75">
      <c r="A157" s="51"/>
      <c r="B157" s="51"/>
    </row>
    <row r="158" spans="1:2" ht="12.75">
      <c r="A158" s="51"/>
      <c r="B158" s="51"/>
    </row>
    <row r="159" spans="1:2" ht="12.75">
      <c r="A159" s="51"/>
      <c r="B159" s="51"/>
    </row>
    <row r="160" spans="1:2" ht="12.75">
      <c r="A160" s="51"/>
      <c r="B160" s="51"/>
    </row>
    <row r="161" spans="1:2" ht="12.75">
      <c r="A161" s="51"/>
      <c r="B161" s="51"/>
    </row>
    <row r="162" spans="1:2" ht="12.75">
      <c r="A162" s="51"/>
      <c r="B162" s="51"/>
    </row>
    <row r="163" spans="1:2" ht="12.75">
      <c r="A163" s="51"/>
      <c r="B163" s="51"/>
    </row>
    <row r="164" spans="1:2" ht="12.75">
      <c r="A164" s="51"/>
      <c r="B164" s="51"/>
    </row>
    <row r="165" spans="1:2" ht="12.75">
      <c r="A165" s="51"/>
      <c r="B165" s="51"/>
    </row>
    <row r="166" spans="1:2" ht="12.75">
      <c r="A166" s="51"/>
      <c r="B166" s="51"/>
    </row>
    <row r="167" spans="1:2" ht="12.75">
      <c r="A167" s="51"/>
      <c r="B167" s="51"/>
    </row>
    <row r="168" spans="1:2" ht="12.75">
      <c r="A168" s="51"/>
      <c r="B168" s="51"/>
    </row>
    <row r="169" spans="1:2" ht="12.75">
      <c r="A169" s="51"/>
      <c r="B169" s="51"/>
    </row>
    <row r="170" spans="1:2" ht="12.75">
      <c r="A170" s="51"/>
      <c r="B170" s="51"/>
    </row>
    <row r="171" spans="1:2" ht="12.75">
      <c r="A171" s="51"/>
      <c r="B171" s="51"/>
    </row>
    <row r="172" spans="1:2" ht="12.75">
      <c r="A172" s="51"/>
      <c r="B172" s="51"/>
    </row>
    <row r="173" spans="1:2" ht="12.75">
      <c r="A173" s="51"/>
      <c r="B173" s="51"/>
    </row>
    <row r="174" spans="1:2" ht="12.75">
      <c r="A174" s="51"/>
      <c r="B174" s="51"/>
    </row>
    <row r="175" spans="1:2" ht="12.75">
      <c r="A175" s="51"/>
      <c r="B175" s="51"/>
    </row>
    <row r="176" spans="1:2" ht="12.75">
      <c r="A176" s="51"/>
      <c r="B176" s="51"/>
    </row>
    <row r="177" spans="1:2" ht="12.75">
      <c r="A177" s="51"/>
      <c r="B177" s="51"/>
    </row>
    <row r="178" spans="1:2" ht="12.75">
      <c r="A178" s="51"/>
      <c r="B178" s="51"/>
    </row>
    <row r="179" spans="1:2" ht="12.75">
      <c r="A179" s="51"/>
      <c r="B179" s="51"/>
    </row>
    <row r="180" spans="1:2" ht="12.75">
      <c r="A180" s="51"/>
      <c r="B180" s="51"/>
    </row>
    <row r="181" spans="1:2" ht="12.75">
      <c r="A181" s="51"/>
      <c r="B181" s="51"/>
    </row>
    <row r="182" spans="1:2" ht="12.75">
      <c r="A182" s="51"/>
      <c r="B182" s="51"/>
    </row>
    <row r="183" spans="1:2" ht="12.75">
      <c r="A183" s="51"/>
      <c r="B183" s="51"/>
    </row>
    <row r="184" spans="1:2" ht="12.75">
      <c r="A184" s="51"/>
      <c r="B184" s="51"/>
    </row>
    <row r="185" spans="1:2" ht="12.75">
      <c r="A185" s="51"/>
      <c r="B185" s="51"/>
    </row>
    <row r="186" spans="1:2" ht="12.75">
      <c r="A186" s="51"/>
      <c r="B186" s="51"/>
    </row>
    <row r="187" spans="1:2" ht="12.75">
      <c r="A187" s="51"/>
      <c r="B187" s="51"/>
    </row>
    <row r="188" spans="1:2" ht="12.75">
      <c r="A188" s="51"/>
      <c r="B188" s="51"/>
    </row>
    <row r="189" spans="1:2" ht="12.75">
      <c r="A189" s="51"/>
      <c r="B189" s="51"/>
    </row>
    <row r="190" spans="1:2" ht="12.75">
      <c r="A190" s="51"/>
      <c r="B190" s="51"/>
    </row>
    <row r="191" spans="1:2" ht="12.75">
      <c r="A191" s="51"/>
      <c r="B191" s="51"/>
    </row>
    <row r="192" spans="1:2" ht="12.75">
      <c r="A192" s="51"/>
      <c r="B192" s="51"/>
    </row>
    <row r="193" spans="1:2" ht="12.75">
      <c r="A193" s="51"/>
      <c r="B193" s="51"/>
    </row>
    <row r="194" spans="1:2" ht="12.75">
      <c r="A194" s="51"/>
      <c r="B194" s="51"/>
    </row>
    <row r="195" spans="1:2" ht="12.75">
      <c r="A195" s="51"/>
      <c r="B195" s="51"/>
    </row>
    <row r="196" spans="1:2" ht="12.75">
      <c r="A196" s="51"/>
      <c r="B196" s="51"/>
    </row>
    <row r="197" spans="1:2" ht="12.75">
      <c r="A197" s="51"/>
      <c r="B197" s="51"/>
    </row>
    <row r="198" spans="1:2" ht="12.75">
      <c r="A198" s="51"/>
      <c r="B198" s="51"/>
    </row>
    <row r="199" spans="1:2" ht="12.75">
      <c r="A199" s="51"/>
      <c r="B199" s="51"/>
    </row>
    <row r="200" spans="1:2" ht="12.75">
      <c r="A200" s="51"/>
      <c r="B200" s="51"/>
    </row>
    <row r="201" spans="1:2" ht="12.75">
      <c r="A201" s="51"/>
      <c r="B201" s="51"/>
    </row>
    <row r="202" spans="1:2" ht="12.75">
      <c r="A202" s="51"/>
      <c r="B202" s="51"/>
    </row>
    <row r="203" spans="1:2" ht="12.75">
      <c r="A203" s="51"/>
      <c r="B203" s="51"/>
    </row>
    <row r="204" spans="1:2" ht="12.75">
      <c r="A204" s="51"/>
      <c r="B204" s="51"/>
    </row>
    <row r="205" spans="1:2" ht="12.75">
      <c r="A205" s="51"/>
      <c r="B205" s="51"/>
    </row>
    <row r="206" spans="1:2" ht="12.75">
      <c r="A206" s="51"/>
      <c r="B206" s="51"/>
    </row>
    <row r="207" spans="1:2" ht="12.75">
      <c r="A207" s="51"/>
      <c r="B207" s="51"/>
    </row>
    <row r="208" spans="1:2" ht="12.75">
      <c r="A208" s="51"/>
      <c r="B208" s="51"/>
    </row>
    <row r="209" spans="1:2" ht="12.75">
      <c r="A209" s="51"/>
      <c r="B209" s="51"/>
    </row>
    <row r="210" spans="1:2" ht="12.75">
      <c r="A210" s="51"/>
      <c r="B210" s="51"/>
    </row>
    <row r="211" spans="1:2" ht="12.75">
      <c r="A211" s="51"/>
      <c r="B211" s="51"/>
    </row>
    <row r="212" spans="1:2" ht="12.75">
      <c r="A212" s="51"/>
      <c r="B212" s="51"/>
    </row>
    <row r="213" spans="1:2" ht="12.75">
      <c r="A213" s="51"/>
      <c r="B213" s="51"/>
    </row>
    <row r="214" spans="1:2" ht="12.75">
      <c r="A214" s="51"/>
      <c r="B214" s="51"/>
    </row>
    <row r="215" spans="1:2" ht="12.75">
      <c r="A215" s="51"/>
      <c r="B215" s="51"/>
    </row>
    <row r="216" spans="1:2" ht="12.75">
      <c r="A216" s="51"/>
      <c r="B216" s="51"/>
    </row>
    <row r="217" spans="1:2" ht="12.75">
      <c r="A217" s="51"/>
      <c r="B217" s="51"/>
    </row>
    <row r="218" spans="1:2" ht="12.75">
      <c r="A218" s="51"/>
      <c r="B218" s="51"/>
    </row>
    <row r="219" spans="1:2" ht="12.75">
      <c r="A219" s="51"/>
      <c r="B219" s="51"/>
    </row>
    <row r="220" spans="1:2" ht="12.75">
      <c r="A220" s="51"/>
      <c r="B220" s="51"/>
    </row>
    <row r="221" spans="1:2" ht="12.75">
      <c r="A221" s="51"/>
      <c r="B221" s="51"/>
    </row>
    <row r="222" spans="1:2" ht="12.75">
      <c r="A222" s="51"/>
      <c r="B222" s="51"/>
    </row>
    <row r="223" spans="1:2" ht="12.75">
      <c r="A223" s="51"/>
      <c r="B223" s="51"/>
    </row>
    <row r="224" spans="1:2" ht="12.75">
      <c r="A224" s="51"/>
      <c r="B224" s="51"/>
    </row>
    <row r="225" spans="1:2" ht="12.75">
      <c r="A225" s="51"/>
      <c r="B225" s="51"/>
    </row>
    <row r="226" spans="1:2" ht="12.75">
      <c r="A226" s="51"/>
      <c r="B226" s="51"/>
    </row>
    <row r="227" spans="1:2" ht="12.75">
      <c r="A227" s="51"/>
      <c r="B227" s="51"/>
    </row>
    <row r="228" spans="1:2" ht="12.75">
      <c r="A228" s="51"/>
      <c r="B228" s="51"/>
    </row>
    <row r="229" spans="1:2" ht="12.75">
      <c r="A229" s="51"/>
      <c r="B229" s="51"/>
    </row>
    <row r="230" spans="1:2" ht="12.75">
      <c r="A230" s="51"/>
      <c r="B230" s="51"/>
    </row>
    <row r="231" spans="1:2" ht="12.75">
      <c r="A231" s="51"/>
      <c r="B231" s="51"/>
    </row>
    <row r="232" spans="1:2" ht="12.75">
      <c r="A232" s="51"/>
      <c r="B232" s="51"/>
    </row>
    <row r="233" spans="1:2" ht="12.75">
      <c r="A233" s="51"/>
      <c r="B233" s="51"/>
    </row>
    <row r="234" spans="1:2" ht="12.75">
      <c r="A234" s="51"/>
      <c r="B234" s="51"/>
    </row>
    <row r="235" spans="1:2" ht="12.75">
      <c r="A235" s="51"/>
      <c r="B235" s="51"/>
    </row>
    <row r="236" spans="1:2" ht="12.75">
      <c r="A236" s="51"/>
      <c r="B236" s="51"/>
    </row>
    <row r="237" spans="1:2" ht="12.75">
      <c r="A237" s="51"/>
      <c r="B237" s="51"/>
    </row>
    <row r="238" spans="1:2" ht="12.75">
      <c r="A238" s="51"/>
      <c r="B238" s="51"/>
    </row>
    <row r="239" spans="1:2" ht="12.75">
      <c r="A239" s="51"/>
      <c r="B239" s="51"/>
    </row>
    <row r="240" spans="1:2" ht="12.75">
      <c r="A240" s="51"/>
      <c r="B240" s="51"/>
    </row>
    <row r="241" spans="1:2" ht="12.75">
      <c r="A241" s="51"/>
      <c r="B241" s="51"/>
    </row>
    <row r="242" spans="1:2" ht="12.75">
      <c r="A242" s="51"/>
      <c r="B242" s="51"/>
    </row>
    <row r="243" spans="1:2" ht="12.75">
      <c r="A243" s="51"/>
      <c r="B243" s="51"/>
    </row>
    <row r="244" spans="1:2" ht="12.75">
      <c r="A244" s="51"/>
      <c r="B244" s="51"/>
    </row>
    <row r="245" spans="1:2" ht="12.75">
      <c r="A245" s="51"/>
      <c r="B245" s="51"/>
    </row>
    <row r="246" spans="1:2" ht="12.75">
      <c r="A246" s="51"/>
      <c r="B246" s="51"/>
    </row>
    <row r="247" spans="1:2" ht="12.75">
      <c r="A247" s="51"/>
      <c r="B247" s="51"/>
    </row>
    <row r="248" spans="1:2" ht="12.75">
      <c r="A248" s="51"/>
      <c r="B248" s="51"/>
    </row>
    <row r="249" spans="1:2" ht="12.75">
      <c r="A249" s="51"/>
      <c r="B249" s="51"/>
    </row>
    <row r="250" spans="1:2" ht="12.75">
      <c r="A250" s="51"/>
      <c r="B250" s="51"/>
    </row>
    <row r="251" spans="1:2" ht="12.75">
      <c r="A251" s="51"/>
      <c r="B251" s="51"/>
    </row>
    <row r="252" spans="1:2" ht="12.75">
      <c r="A252" s="51"/>
      <c r="B252" s="51"/>
    </row>
    <row r="253" spans="1:2" ht="12.75">
      <c r="A253" s="51"/>
      <c r="B253" s="51"/>
    </row>
    <row r="254" spans="1:2" ht="12.75">
      <c r="A254" s="51"/>
      <c r="B254" s="51"/>
    </row>
    <row r="255" spans="1:2" ht="12.75">
      <c r="A255" s="51"/>
      <c r="B255" s="51"/>
    </row>
    <row r="256" spans="1:2" ht="12.75">
      <c r="A256" s="51"/>
      <c r="B256" s="51"/>
    </row>
    <row r="257" spans="1:2" ht="12.75">
      <c r="A257" s="51"/>
      <c r="B257" s="51"/>
    </row>
    <row r="258" spans="1:2" ht="12.75">
      <c r="A258" s="51"/>
      <c r="B258" s="51"/>
    </row>
    <row r="259" spans="1:2" ht="12.75">
      <c r="A259" s="51"/>
      <c r="B259" s="51"/>
    </row>
    <row r="260" spans="1:2" ht="12.75">
      <c r="A260" s="51"/>
      <c r="B260" s="51"/>
    </row>
    <row r="261" spans="1:2" ht="12.75">
      <c r="A261" s="51"/>
      <c r="B261" s="51"/>
    </row>
    <row r="262" spans="1:2" ht="12.75">
      <c r="A262" s="51"/>
      <c r="B262" s="51"/>
    </row>
    <row r="263" spans="1:2" ht="12.75">
      <c r="A263" s="51"/>
      <c r="B263" s="51"/>
    </row>
    <row r="264" spans="1:2" ht="12.75">
      <c r="A264" s="51"/>
      <c r="B264" s="51"/>
    </row>
    <row r="265" spans="1:2" ht="12.75">
      <c r="A265" s="51"/>
      <c r="B265" s="51"/>
    </row>
    <row r="266" spans="1:2" ht="12.75">
      <c r="A266" s="51"/>
      <c r="B266" s="51"/>
    </row>
    <row r="267" spans="1:2" ht="12.75">
      <c r="A267" s="51"/>
      <c r="B267" s="51"/>
    </row>
    <row r="268" spans="1:2" ht="12.75">
      <c r="A268" s="51"/>
      <c r="B268" s="51"/>
    </row>
  </sheetData>
  <mergeCells count="43">
    <mergeCell ref="F1:J1"/>
    <mergeCell ref="A2:J2"/>
    <mergeCell ref="A3:J3"/>
    <mergeCell ref="C4:F4"/>
    <mergeCell ref="A5:J5"/>
    <mergeCell ref="A6:J6"/>
    <mergeCell ref="A7:H7"/>
    <mergeCell ref="A8:A10"/>
    <mergeCell ref="B8:B10"/>
    <mergeCell ref="C8:C10"/>
    <mergeCell ref="D8:D10"/>
    <mergeCell ref="E8:E10"/>
    <mergeCell ref="F8:I8"/>
    <mergeCell ref="F9:G9"/>
    <mergeCell ref="H9:H10"/>
    <mergeCell ref="I9:I10"/>
    <mergeCell ref="C22:I22"/>
    <mergeCell ref="C24:I24"/>
    <mergeCell ref="A49:A51"/>
    <mergeCell ref="B49:B51"/>
    <mergeCell ref="C49:C51"/>
    <mergeCell ref="D49:D51"/>
    <mergeCell ref="E49:E51"/>
    <mergeCell ref="F49:I49"/>
    <mergeCell ref="F50:G50"/>
    <mergeCell ref="H50:H51"/>
    <mergeCell ref="I50:I51"/>
    <mergeCell ref="A55:J55"/>
    <mergeCell ref="A56:A57"/>
    <mergeCell ref="B56:C57"/>
    <mergeCell ref="D56:D57"/>
    <mergeCell ref="E56:E57"/>
    <mergeCell ref="F56:H56"/>
    <mergeCell ref="I56:I57"/>
    <mergeCell ref="J56:J57"/>
    <mergeCell ref="B63:H63"/>
    <mergeCell ref="B67:H67"/>
    <mergeCell ref="A58:A62"/>
    <mergeCell ref="B58:C58"/>
    <mergeCell ref="B59:C59"/>
    <mergeCell ref="B60:C60"/>
    <mergeCell ref="B61:C61"/>
    <mergeCell ref="B62:C62"/>
  </mergeCells>
  <printOptions/>
  <pageMargins left="0.75" right="0.75" top="1" bottom="1" header="0.5" footer="0.5"/>
  <pageSetup horizontalDpi="600" verticalDpi="600" orientation="portrait" paperSize="9" scale="47" r:id="rId1"/>
  <rowBreaks count="1" manualBreakCount="1">
    <brk id="6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272"/>
  <sheetViews>
    <sheetView view="pageBreakPreview" zoomScale="60" workbookViewId="0" topLeftCell="A1">
      <selection activeCell="N46" sqref="N46"/>
    </sheetView>
  </sheetViews>
  <sheetFormatPr defaultColWidth="9.00390625" defaultRowHeight="12.75"/>
  <cols>
    <col min="1" max="1" width="42.75390625" style="52" customWidth="1"/>
    <col min="2" max="2" width="11.125" style="52" customWidth="1"/>
    <col min="3" max="5" width="14.75390625" style="33" customWidth="1"/>
    <col min="6" max="6" width="15.75390625" style="33" customWidth="1"/>
    <col min="7" max="7" width="18.625" style="33" customWidth="1"/>
    <col min="8" max="8" width="14.375" style="33" customWidth="1"/>
    <col min="9" max="10" width="14.75390625" style="33" customWidth="1"/>
    <col min="11" max="16384" width="9.125" style="33" customWidth="1"/>
  </cols>
  <sheetData>
    <row r="1" spans="1:10" ht="15.75">
      <c r="A1" s="31"/>
      <c r="B1" s="31"/>
      <c r="C1" s="32"/>
      <c r="D1" s="32"/>
      <c r="E1" s="32"/>
      <c r="F1" s="434" t="s">
        <v>294</v>
      </c>
      <c r="G1" s="434"/>
      <c r="H1" s="434"/>
      <c r="I1" s="434"/>
      <c r="J1" s="434"/>
    </row>
    <row r="2" spans="1:10" ht="24.75" customHeight="1">
      <c r="A2" s="403" t="s">
        <v>173</v>
      </c>
      <c r="B2" s="403"/>
      <c r="C2" s="403"/>
      <c r="D2" s="403"/>
      <c r="E2" s="403"/>
      <c r="F2" s="403"/>
      <c r="G2" s="403"/>
      <c r="H2" s="403"/>
      <c r="I2" s="403"/>
      <c r="J2" s="403"/>
    </row>
    <row r="3" spans="1:10" ht="14.25" customHeight="1">
      <c r="A3" s="435" t="s">
        <v>263</v>
      </c>
      <c r="B3" s="435"/>
      <c r="C3" s="435"/>
      <c r="D3" s="435"/>
      <c r="E3" s="435"/>
      <c r="F3" s="435"/>
      <c r="G3" s="435"/>
      <c r="H3" s="435"/>
      <c r="I3" s="435"/>
      <c r="J3" s="435"/>
    </row>
    <row r="4" spans="1:8" ht="14.25" customHeight="1">
      <c r="A4" s="34"/>
      <c r="B4" s="403" t="s">
        <v>113</v>
      </c>
      <c r="C4" s="403"/>
      <c r="D4" s="403"/>
      <c r="E4" s="403"/>
      <c r="F4" s="403"/>
      <c r="G4" s="403"/>
      <c r="H4" s="34"/>
    </row>
    <row r="5" spans="1:10" ht="7.5" customHeight="1">
      <c r="A5" s="436" t="s">
        <v>264</v>
      </c>
      <c r="B5" s="436"/>
      <c r="C5" s="436"/>
      <c r="D5" s="436"/>
      <c r="E5" s="436"/>
      <c r="F5" s="436"/>
      <c r="G5" s="436"/>
      <c r="H5" s="436"/>
      <c r="I5" s="436"/>
      <c r="J5" s="436"/>
    </row>
    <row r="6" spans="1:10" ht="15.75">
      <c r="A6" s="435" t="s">
        <v>174</v>
      </c>
      <c r="B6" s="435"/>
      <c r="C6" s="435"/>
      <c r="D6" s="435"/>
      <c r="E6" s="435"/>
      <c r="F6" s="435"/>
      <c r="G6" s="435"/>
      <c r="H6" s="435"/>
      <c r="I6" s="435"/>
      <c r="J6" s="435"/>
    </row>
    <row r="7" spans="1:8" ht="13.5" thickBot="1">
      <c r="A7" s="437"/>
      <c r="B7" s="437"/>
      <c r="C7" s="437"/>
      <c r="D7" s="437"/>
      <c r="E7" s="437"/>
      <c r="F7" s="437"/>
      <c r="G7" s="437"/>
      <c r="H7" s="437"/>
    </row>
    <row r="8" spans="1:9" ht="18.75" customHeight="1">
      <c r="A8" s="450" t="s">
        <v>175</v>
      </c>
      <c r="B8" s="430" t="s">
        <v>176</v>
      </c>
      <c r="C8" s="417" t="s">
        <v>265</v>
      </c>
      <c r="D8" s="417" t="s">
        <v>342</v>
      </c>
      <c r="E8" s="417" t="s">
        <v>343</v>
      </c>
      <c r="F8" s="420" t="s">
        <v>177</v>
      </c>
      <c r="G8" s="413"/>
      <c r="H8" s="413"/>
      <c r="I8" s="414"/>
    </row>
    <row r="9" spans="1:9" ht="18.75" customHeight="1">
      <c r="A9" s="451"/>
      <c r="B9" s="418"/>
      <c r="C9" s="418"/>
      <c r="D9" s="418"/>
      <c r="E9" s="418"/>
      <c r="F9" s="421">
        <v>2015</v>
      </c>
      <c r="G9" s="422"/>
      <c r="H9" s="423" t="s">
        <v>241</v>
      </c>
      <c r="I9" s="424" t="s">
        <v>330</v>
      </c>
    </row>
    <row r="10" spans="1:9" ht="16.5" customHeight="1" thickBot="1">
      <c r="A10" s="458"/>
      <c r="B10" s="459"/>
      <c r="C10" s="460"/>
      <c r="D10" s="460"/>
      <c r="E10" s="460"/>
      <c r="F10" s="250" t="s">
        <v>79</v>
      </c>
      <c r="G10" s="251" t="s">
        <v>2</v>
      </c>
      <c r="H10" s="448"/>
      <c r="I10" s="447"/>
    </row>
    <row r="11" spans="1:9" ht="31.5" customHeight="1">
      <c r="A11" s="60" t="s">
        <v>178</v>
      </c>
      <c r="B11" s="159" t="s">
        <v>12</v>
      </c>
      <c r="C11" s="252">
        <v>100</v>
      </c>
      <c r="D11" s="252">
        <v>100</v>
      </c>
      <c r="E11" s="252">
        <v>100</v>
      </c>
      <c r="F11" s="252">
        <v>100</v>
      </c>
      <c r="G11" s="252">
        <v>100</v>
      </c>
      <c r="H11" s="252">
        <v>100</v>
      </c>
      <c r="I11" s="252">
        <v>100</v>
      </c>
    </row>
    <row r="12" spans="1:9" ht="33" customHeight="1">
      <c r="A12" s="145" t="s">
        <v>179</v>
      </c>
      <c r="B12" s="53" t="s">
        <v>12</v>
      </c>
      <c r="C12" s="253">
        <v>6.7</v>
      </c>
      <c r="D12" s="253">
        <v>6.7</v>
      </c>
      <c r="E12" s="253">
        <v>6.7</v>
      </c>
      <c r="F12" s="253">
        <v>6.7</v>
      </c>
      <c r="G12" s="253">
        <v>7</v>
      </c>
      <c r="H12" s="253">
        <v>7.2</v>
      </c>
      <c r="I12" s="253">
        <v>7.4</v>
      </c>
    </row>
    <row r="13" spans="1:9" ht="30.75" customHeight="1">
      <c r="A13" s="145" t="s">
        <v>180</v>
      </c>
      <c r="B13" s="53" t="s">
        <v>181</v>
      </c>
      <c r="C13" s="254">
        <v>857622</v>
      </c>
      <c r="D13" s="254">
        <v>1137985</v>
      </c>
      <c r="E13" s="254">
        <v>1397014</v>
      </c>
      <c r="F13" s="254">
        <v>1275143</v>
      </c>
      <c r="G13" s="254">
        <v>1408793</v>
      </c>
      <c r="H13" s="254">
        <v>1465492</v>
      </c>
      <c r="I13" s="254">
        <v>1510863</v>
      </c>
    </row>
    <row r="14" spans="1:9" ht="18.75" customHeight="1">
      <c r="A14" s="145" t="s">
        <v>182</v>
      </c>
      <c r="B14" s="53" t="s">
        <v>181</v>
      </c>
      <c r="C14" s="254">
        <f aca="true" t="shared" si="0" ref="C14:I14">C16+C20</f>
        <v>358847</v>
      </c>
      <c r="D14" s="254">
        <f t="shared" si="0"/>
        <v>277695</v>
      </c>
      <c r="E14" s="254">
        <f t="shared" si="0"/>
        <v>256736</v>
      </c>
      <c r="F14" s="254">
        <f t="shared" si="0"/>
        <v>0</v>
      </c>
      <c r="G14" s="254">
        <f t="shared" si="0"/>
        <v>271600</v>
      </c>
      <c r="H14" s="254">
        <f t="shared" si="0"/>
        <v>256700</v>
      </c>
      <c r="I14" s="254">
        <f t="shared" si="0"/>
        <v>228900</v>
      </c>
    </row>
    <row r="15" spans="1:9" ht="21" customHeight="1">
      <c r="A15" s="146" t="s">
        <v>15</v>
      </c>
      <c r="B15" s="53"/>
      <c r="C15" s="64"/>
      <c r="D15" s="64"/>
      <c r="E15" s="64"/>
      <c r="F15" s="64"/>
      <c r="G15" s="64"/>
      <c r="H15" s="64"/>
      <c r="I15" s="64"/>
    </row>
    <row r="16" spans="1:9" ht="21.75" customHeight="1">
      <c r="A16" s="146" t="s">
        <v>209</v>
      </c>
      <c r="B16" s="53" t="s">
        <v>181</v>
      </c>
      <c r="C16" s="255">
        <v>249418</v>
      </c>
      <c r="D16" s="255">
        <v>201695</v>
      </c>
      <c r="E16" s="255">
        <v>151169</v>
      </c>
      <c r="F16" s="255">
        <v>0</v>
      </c>
      <c r="G16" s="255">
        <v>46800</v>
      </c>
      <c r="H16" s="255">
        <v>27800</v>
      </c>
      <c r="I16" s="256">
        <v>0</v>
      </c>
    </row>
    <row r="17" spans="1:9" ht="21.75" customHeight="1">
      <c r="A17" s="146" t="s">
        <v>210</v>
      </c>
      <c r="B17" s="53" t="s">
        <v>181</v>
      </c>
      <c r="C17" s="160"/>
      <c r="D17" s="160"/>
      <c r="E17" s="160"/>
      <c r="F17" s="160"/>
      <c r="G17" s="55"/>
      <c r="H17" s="160"/>
      <c r="I17" s="160"/>
    </row>
    <row r="18" spans="1:9" ht="21" customHeight="1">
      <c r="A18" s="146" t="s">
        <v>211</v>
      </c>
      <c r="B18" s="53" t="s">
        <v>181</v>
      </c>
      <c r="C18" s="160"/>
      <c r="D18" s="160"/>
      <c r="E18" s="160"/>
      <c r="F18" s="160"/>
      <c r="G18" s="160"/>
      <c r="H18" s="160"/>
      <c r="I18" s="160"/>
    </row>
    <row r="19" spans="1:9" ht="23.25" customHeight="1">
      <c r="A19" s="146" t="s">
        <v>212</v>
      </c>
      <c r="B19" s="53" t="s">
        <v>181</v>
      </c>
      <c r="C19" s="160"/>
      <c r="D19" s="160"/>
      <c r="E19" s="160"/>
      <c r="F19" s="160"/>
      <c r="G19" s="160"/>
      <c r="H19" s="160"/>
      <c r="I19" s="160"/>
    </row>
    <row r="20" spans="1:9" ht="21.75" customHeight="1">
      <c r="A20" s="146" t="s">
        <v>213</v>
      </c>
      <c r="B20" s="53" t="s">
        <v>181</v>
      </c>
      <c r="C20" s="255">
        <v>109429</v>
      </c>
      <c r="D20" s="255">
        <v>76000</v>
      </c>
      <c r="E20" s="255">
        <v>105567</v>
      </c>
      <c r="F20" s="255">
        <v>0</v>
      </c>
      <c r="G20" s="255">
        <v>224800</v>
      </c>
      <c r="H20" s="255">
        <v>228900</v>
      </c>
      <c r="I20" s="256">
        <v>228900</v>
      </c>
    </row>
    <row r="21" spans="1:9" ht="20.25" customHeight="1">
      <c r="A21" s="146" t="s">
        <v>214</v>
      </c>
      <c r="B21" s="53" t="s">
        <v>181</v>
      </c>
      <c r="C21" s="64"/>
      <c r="D21" s="64"/>
      <c r="E21" s="64"/>
      <c r="F21" s="64"/>
      <c r="G21" s="64"/>
      <c r="H21" s="64"/>
      <c r="I21" s="64"/>
    </row>
    <row r="22" spans="1:9" ht="41.25" customHeight="1">
      <c r="A22" s="145" t="s">
        <v>183</v>
      </c>
      <c r="B22" s="53" t="s">
        <v>181</v>
      </c>
      <c r="C22" s="257">
        <v>2140152</v>
      </c>
      <c r="D22" s="257">
        <v>2192756</v>
      </c>
      <c r="E22" s="257">
        <v>2433367</v>
      </c>
      <c r="F22" s="257">
        <v>2402591</v>
      </c>
      <c r="G22" s="257">
        <v>2559901</v>
      </c>
      <c r="H22" s="257">
        <v>2675097</v>
      </c>
      <c r="I22" s="258">
        <v>2787452</v>
      </c>
    </row>
    <row r="23" spans="1:9" ht="35.25" customHeight="1">
      <c r="A23" s="59" t="s">
        <v>184</v>
      </c>
      <c r="B23" s="53" t="s">
        <v>12</v>
      </c>
      <c r="C23" s="53">
        <v>0</v>
      </c>
      <c r="D23" s="53">
        <v>0</v>
      </c>
      <c r="E23" s="53">
        <v>0</v>
      </c>
      <c r="F23" s="53">
        <v>0</v>
      </c>
      <c r="G23" s="53">
        <v>0</v>
      </c>
      <c r="H23" s="53">
        <v>0</v>
      </c>
      <c r="I23" s="53">
        <v>0</v>
      </c>
    </row>
    <row r="24" spans="1:9" ht="33.75" customHeight="1">
      <c r="A24" s="145" t="s">
        <v>185</v>
      </c>
      <c r="B24" s="53" t="s">
        <v>181</v>
      </c>
      <c r="C24" s="257">
        <v>339838</v>
      </c>
      <c r="D24" s="257">
        <v>113885</v>
      </c>
      <c r="E24" s="257">
        <v>38652</v>
      </c>
      <c r="F24" s="257">
        <v>38652</v>
      </c>
      <c r="G24" s="257">
        <v>76800</v>
      </c>
      <c r="H24" s="257">
        <v>98600</v>
      </c>
      <c r="I24" s="258">
        <v>120750</v>
      </c>
    </row>
    <row r="25" spans="1:9" ht="49.5" customHeight="1">
      <c r="A25" s="145" t="s">
        <v>186</v>
      </c>
      <c r="B25" s="53" t="s">
        <v>181</v>
      </c>
      <c r="C25" s="257">
        <v>1768326</v>
      </c>
      <c r="D25" s="257">
        <v>2132200</v>
      </c>
      <c r="E25" s="257">
        <v>2359410</v>
      </c>
      <c r="F25" s="257">
        <v>2390186</v>
      </c>
      <c r="G25" s="257">
        <v>2462075</v>
      </c>
      <c r="H25" s="257">
        <v>2564921</v>
      </c>
      <c r="I25" s="258">
        <v>2651702</v>
      </c>
    </row>
    <row r="26" spans="1:9" ht="34.5" customHeight="1">
      <c r="A26" s="145" t="s">
        <v>187</v>
      </c>
      <c r="B26" s="53" t="s">
        <v>13</v>
      </c>
      <c r="C26" s="259">
        <f>C25/C22</f>
        <v>0.8262618729884607</v>
      </c>
      <c r="D26" s="259">
        <f aca="true" t="shared" si="1" ref="D26:I26">D25/D22</f>
        <v>0.9723836122213324</v>
      </c>
      <c r="E26" s="259">
        <f t="shared" si="1"/>
        <v>0.9696071328328197</v>
      </c>
      <c r="F26" s="259">
        <f t="shared" si="1"/>
        <v>0.9948368240786717</v>
      </c>
      <c r="G26" s="259">
        <f t="shared" si="1"/>
        <v>0.9617852409136135</v>
      </c>
      <c r="H26" s="259">
        <f t="shared" si="1"/>
        <v>0.9588142037466305</v>
      </c>
      <c r="I26" s="259">
        <f t="shared" si="1"/>
        <v>0.9512996098228776</v>
      </c>
    </row>
    <row r="27" spans="1:9" ht="30.75" customHeight="1">
      <c r="A27" s="145" t="s">
        <v>188</v>
      </c>
      <c r="B27" s="53"/>
      <c r="C27" s="54"/>
      <c r="D27" s="54"/>
      <c r="E27" s="54"/>
      <c r="F27" s="54"/>
      <c r="G27" s="54"/>
      <c r="H27" s="54"/>
      <c r="I27" s="54"/>
    </row>
    <row r="28" spans="1:9" ht="15.75">
      <c r="A28" s="59" t="s">
        <v>189</v>
      </c>
      <c r="B28" s="53" t="s">
        <v>12</v>
      </c>
      <c r="C28" s="260">
        <v>4</v>
      </c>
      <c r="D28" s="260">
        <v>3.1</v>
      </c>
      <c r="E28" s="260">
        <v>3.1</v>
      </c>
      <c r="F28" s="260">
        <v>3.1</v>
      </c>
      <c r="G28" s="260">
        <v>3.1</v>
      </c>
      <c r="H28" s="260">
        <v>3.1</v>
      </c>
      <c r="I28" s="260">
        <v>3.1</v>
      </c>
    </row>
    <row r="29" spans="1:9" ht="15.75">
      <c r="A29" s="59" t="s">
        <v>190</v>
      </c>
      <c r="B29" s="53" t="s">
        <v>12</v>
      </c>
      <c r="C29" s="260">
        <v>2.2</v>
      </c>
      <c r="D29" s="260">
        <v>2.3</v>
      </c>
      <c r="E29" s="260">
        <v>2.4</v>
      </c>
      <c r="F29" s="260">
        <v>2.4</v>
      </c>
      <c r="G29" s="260">
        <v>2.4</v>
      </c>
      <c r="H29" s="260">
        <v>2.4</v>
      </c>
      <c r="I29" s="260">
        <v>2.4</v>
      </c>
    </row>
    <row r="30" spans="1:9" ht="15.75">
      <c r="A30" s="59" t="s">
        <v>191</v>
      </c>
      <c r="B30" s="53" t="s">
        <v>12</v>
      </c>
      <c r="C30" s="260">
        <v>2.8</v>
      </c>
      <c r="D30" s="260">
        <v>2.6</v>
      </c>
      <c r="E30" s="260">
        <v>2.5</v>
      </c>
      <c r="F30" s="260">
        <v>2.5</v>
      </c>
      <c r="G30" s="260">
        <v>2.6</v>
      </c>
      <c r="H30" s="260">
        <v>2.7</v>
      </c>
      <c r="I30" s="260">
        <v>2.7</v>
      </c>
    </row>
    <row r="31" spans="1:9" ht="15.75">
      <c r="A31" s="59" t="s">
        <v>192</v>
      </c>
      <c r="B31" s="53" t="s">
        <v>12</v>
      </c>
      <c r="C31" s="260">
        <v>0.4</v>
      </c>
      <c r="D31" s="260">
        <v>0.4</v>
      </c>
      <c r="E31" s="260">
        <v>0.5</v>
      </c>
      <c r="F31" s="260">
        <v>0.5</v>
      </c>
      <c r="G31" s="260">
        <v>0.5</v>
      </c>
      <c r="H31" s="260">
        <v>0.5</v>
      </c>
      <c r="I31" s="260">
        <v>0.5</v>
      </c>
    </row>
    <row r="32" spans="1:9" ht="34.5" customHeight="1">
      <c r="A32" s="145" t="s">
        <v>193</v>
      </c>
      <c r="B32" s="53"/>
      <c r="C32" s="54"/>
      <c r="D32" s="54"/>
      <c r="E32" s="54"/>
      <c r="F32" s="54"/>
      <c r="G32" s="54"/>
      <c r="H32" s="54"/>
      <c r="I32" s="54"/>
    </row>
    <row r="33" spans="1:9" ht="15.75">
      <c r="A33" s="147" t="s">
        <v>194</v>
      </c>
      <c r="B33" s="53" t="s">
        <v>181</v>
      </c>
      <c r="C33" s="257">
        <v>125209</v>
      </c>
      <c r="D33" s="257">
        <v>171592</v>
      </c>
      <c r="E33" s="257">
        <v>199779</v>
      </c>
      <c r="F33" s="257">
        <v>201168</v>
      </c>
      <c r="G33" s="257">
        <v>202949</v>
      </c>
      <c r="H33" s="257">
        <v>208795</v>
      </c>
      <c r="I33" s="258">
        <v>216884</v>
      </c>
    </row>
    <row r="34" spans="1:9" ht="15.75">
      <c r="A34" s="147" t="s">
        <v>195</v>
      </c>
      <c r="B34" s="53" t="s">
        <v>181</v>
      </c>
      <c r="C34" s="257">
        <v>120895</v>
      </c>
      <c r="D34" s="257">
        <v>164788</v>
      </c>
      <c r="E34" s="257">
        <v>199779</v>
      </c>
      <c r="F34" s="257">
        <v>201168</v>
      </c>
      <c r="G34" s="257">
        <v>202949</v>
      </c>
      <c r="H34" s="257">
        <v>208795</v>
      </c>
      <c r="I34" s="258">
        <v>216884</v>
      </c>
    </row>
    <row r="35" spans="1:9" ht="31.5">
      <c r="A35" s="59" t="s">
        <v>196</v>
      </c>
      <c r="B35" s="53" t="s">
        <v>181</v>
      </c>
      <c r="C35" s="54"/>
      <c r="D35" s="54"/>
      <c r="E35" s="54"/>
      <c r="F35" s="54"/>
      <c r="G35" s="54"/>
      <c r="H35" s="54"/>
      <c r="I35" s="54"/>
    </row>
    <row r="36" spans="1:9" ht="15.75">
      <c r="A36" s="147" t="s">
        <v>194</v>
      </c>
      <c r="B36" s="53" t="s">
        <v>181</v>
      </c>
      <c r="C36" s="257">
        <v>760</v>
      </c>
      <c r="D36" s="257">
        <v>828</v>
      </c>
      <c r="E36" s="257">
        <v>1000</v>
      </c>
      <c r="F36" s="257">
        <v>1000</v>
      </c>
      <c r="G36" s="257">
        <v>1000</v>
      </c>
      <c r="H36" s="257">
        <v>1000</v>
      </c>
      <c r="I36" s="257">
        <v>1000</v>
      </c>
    </row>
    <row r="37" spans="1:9" ht="15.75">
      <c r="A37" s="147" t="s">
        <v>195</v>
      </c>
      <c r="B37" s="53" t="s">
        <v>181</v>
      </c>
      <c r="C37" s="257">
        <v>1351</v>
      </c>
      <c r="D37" s="257">
        <v>888</v>
      </c>
      <c r="E37" s="257">
        <f>E36</f>
        <v>1000</v>
      </c>
      <c r="F37" s="257">
        <f>F36</f>
        <v>1000</v>
      </c>
      <c r="G37" s="257">
        <f>G36</f>
        <v>1000</v>
      </c>
      <c r="H37" s="257">
        <f>H36</f>
        <v>1000</v>
      </c>
      <c r="I37" s="258">
        <f>I36</f>
        <v>1000</v>
      </c>
    </row>
    <row r="38" spans="1:9" ht="33" customHeight="1">
      <c r="A38" s="145" t="s">
        <v>197</v>
      </c>
      <c r="B38" s="53" t="s">
        <v>181</v>
      </c>
      <c r="C38" s="54">
        <v>0</v>
      </c>
      <c r="D38" s="54">
        <v>0</v>
      </c>
      <c r="E38" s="54">
        <v>0</v>
      </c>
      <c r="F38" s="54">
        <v>0</v>
      </c>
      <c r="G38" s="54">
        <v>0</v>
      </c>
      <c r="H38" s="54">
        <v>0</v>
      </c>
      <c r="I38" s="54">
        <v>0</v>
      </c>
    </row>
    <row r="39" spans="1:9" ht="15.75">
      <c r="A39" s="59" t="s">
        <v>198</v>
      </c>
      <c r="B39" s="53"/>
      <c r="C39" s="54"/>
      <c r="D39" s="54"/>
      <c r="E39" s="54"/>
      <c r="F39" s="54"/>
      <c r="G39" s="54"/>
      <c r="H39" s="54"/>
      <c r="I39" s="54"/>
    </row>
    <row r="40" spans="1:9" ht="15.75">
      <c r="A40" s="147" t="s">
        <v>199</v>
      </c>
      <c r="B40" s="53" t="s">
        <v>181</v>
      </c>
      <c r="C40" s="54">
        <v>0</v>
      </c>
      <c r="D40" s="54">
        <v>0</v>
      </c>
      <c r="E40" s="54">
        <v>0</v>
      </c>
      <c r="F40" s="54">
        <v>0</v>
      </c>
      <c r="G40" s="54">
        <v>0</v>
      </c>
      <c r="H40" s="54">
        <v>0</v>
      </c>
      <c r="I40" s="54">
        <v>0</v>
      </c>
    </row>
    <row r="41" spans="1:9" ht="15.75">
      <c r="A41" s="147" t="s">
        <v>200</v>
      </c>
      <c r="B41" s="53" t="s">
        <v>181</v>
      </c>
      <c r="C41" s="54">
        <v>0</v>
      </c>
      <c r="D41" s="54">
        <v>0</v>
      </c>
      <c r="E41" s="54">
        <v>0</v>
      </c>
      <c r="F41" s="54">
        <v>0</v>
      </c>
      <c r="G41" s="54">
        <v>0</v>
      </c>
      <c r="H41" s="54">
        <v>0</v>
      </c>
      <c r="I41" s="54">
        <v>0</v>
      </c>
    </row>
    <row r="42" spans="1:9" ht="15.75">
      <c r="A42" s="147" t="s">
        <v>201</v>
      </c>
      <c r="B42" s="53" t="s">
        <v>181</v>
      </c>
      <c r="C42" s="54">
        <v>0</v>
      </c>
      <c r="D42" s="54">
        <v>0</v>
      </c>
      <c r="E42" s="54">
        <v>0</v>
      </c>
      <c r="F42" s="54">
        <v>0</v>
      </c>
      <c r="G42" s="54">
        <v>0</v>
      </c>
      <c r="H42" s="54">
        <v>0</v>
      </c>
      <c r="I42" s="54">
        <v>0</v>
      </c>
    </row>
    <row r="43" spans="1:9" ht="32.25" customHeight="1">
      <c r="A43" s="145" t="s">
        <v>202</v>
      </c>
      <c r="B43" s="53" t="s">
        <v>203</v>
      </c>
      <c r="C43" s="254">
        <v>1147</v>
      </c>
      <c r="D43" s="254">
        <v>1171</v>
      </c>
      <c r="E43" s="254">
        <v>1184</v>
      </c>
      <c r="F43" s="254">
        <v>1154</v>
      </c>
      <c r="G43" s="254">
        <v>1184</v>
      </c>
      <c r="H43" s="254">
        <f>G43+H44</f>
        <v>1184</v>
      </c>
      <c r="I43" s="254">
        <f>H43+I44</f>
        <v>1184</v>
      </c>
    </row>
    <row r="44" spans="1:9" ht="32.25" customHeight="1">
      <c r="A44" s="145" t="s">
        <v>204</v>
      </c>
      <c r="B44" s="53" t="s">
        <v>14</v>
      </c>
      <c r="C44" s="261">
        <v>0</v>
      </c>
      <c r="D44" s="261">
        <v>10</v>
      </c>
      <c r="E44" s="261">
        <v>10</v>
      </c>
      <c r="F44" s="261">
        <v>0</v>
      </c>
      <c r="G44" s="261">
        <v>0</v>
      </c>
      <c r="H44" s="261">
        <v>0</v>
      </c>
      <c r="I44" s="261">
        <v>0</v>
      </c>
    </row>
    <row r="45" spans="1:9" ht="23.25" customHeight="1">
      <c r="A45" s="145" t="s">
        <v>205</v>
      </c>
      <c r="B45" s="53" t="s">
        <v>181</v>
      </c>
      <c r="C45" s="254">
        <v>278906</v>
      </c>
      <c r="D45" s="254">
        <v>336486</v>
      </c>
      <c r="E45" s="254">
        <v>341810</v>
      </c>
      <c r="F45" s="254">
        <v>338392</v>
      </c>
      <c r="G45" s="254">
        <v>348401</v>
      </c>
      <c r="H45" s="254">
        <v>358505</v>
      </c>
      <c r="I45" s="262">
        <v>372486</v>
      </c>
    </row>
    <row r="46" spans="1:9" ht="34.5" customHeight="1" thickBot="1">
      <c r="A46" s="161" t="s">
        <v>206</v>
      </c>
      <c r="B46" s="56" t="s">
        <v>181</v>
      </c>
      <c r="C46" s="263">
        <v>0</v>
      </c>
      <c r="D46" s="263">
        <v>0</v>
      </c>
      <c r="E46" s="263">
        <v>0</v>
      </c>
      <c r="F46" s="263">
        <v>0</v>
      </c>
      <c r="G46" s="263">
        <v>0</v>
      </c>
      <c r="H46" s="263">
        <v>0</v>
      </c>
      <c r="I46" s="263">
        <v>0</v>
      </c>
    </row>
    <row r="47" spans="1:10" ht="19.5" customHeight="1" thickBot="1">
      <c r="A47" s="49"/>
      <c r="B47" s="50"/>
      <c r="C47" s="32"/>
      <c r="D47" s="32"/>
      <c r="E47" s="32"/>
      <c r="F47" s="32"/>
      <c r="G47" s="32"/>
      <c r="H47" s="32"/>
      <c r="I47" s="32"/>
      <c r="J47" s="32"/>
    </row>
    <row r="48" spans="1:9" ht="15.75" customHeight="1">
      <c r="A48" s="450" t="s">
        <v>207</v>
      </c>
      <c r="B48" s="430" t="s">
        <v>176</v>
      </c>
      <c r="C48" s="417" t="s">
        <v>265</v>
      </c>
      <c r="D48" s="417" t="s">
        <v>342</v>
      </c>
      <c r="E48" s="417" t="s">
        <v>343</v>
      </c>
      <c r="F48" s="420" t="s">
        <v>177</v>
      </c>
      <c r="G48" s="413"/>
      <c r="H48" s="413"/>
      <c r="I48" s="414"/>
    </row>
    <row r="49" spans="1:9" ht="15.75" customHeight="1">
      <c r="A49" s="451"/>
      <c r="B49" s="418"/>
      <c r="C49" s="418"/>
      <c r="D49" s="418"/>
      <c r="E49" s="418"/>
      <c r="F49" s="421">
        <v>2015</v>
      </c>
      <c r="G49" s="422"/>
      <c r="H49" s="423" t="s">
        <v>241</v>
      </c>
      <c r="I49" s="424" t="s">
        <v>330</v>
      </c>
    </row>
    <row r="50" spans="1:9" ht="18.75" customHeight="1" thickBot="1">
      <c r="A50" s="458"/>
      <c r="B50" s="459"/>
      <c r="C50" s="460"/>
      <c r="D50" s="460"/>
      <c r="E50" s="460"/>
      <c r="F50" s="250" t="s">
        <v>79</v>
      </c>
      <c r="G50" s="251" t="s">
        <v>2</v>
      </c>
      <c r="H50" s="448"/>
      <c r="I50" s="447"/>
    </row>
    <row r="51" spans="1:9" ht="15.75">
      <c r="A51" s="264" t="s">
        <v>348</v>
      </c>
      <c r="B51" s="265" t="s">
        <v>23</v>
      </c>
      <c r="C51" s="265">
        <v>473</v>
      </c>
      <c r="D51" s="265">
        <v>396</v>
      </c>
      <c r="E51" s="265">
        <v>461</v>
      </c>
      <c r="F51" s="265">
        <v>400</v>
      </c>
      <c r="G51" s="265">
        <v>461</v>
      </c>
      <c r="H51" s="265">
        <v>461</v>
      </c>
      <c r="I51" s="265">
        <v>461</v>
      </c>
    </row>
    <row r="52" spans="1:9" ht="15.75">
      <c r="A52" s="59" t="s">
        <v>349</v>
      </c>
      <c r="B52" s="203" t="s">
        <v>23</v>
      </c>
      <c r="C52" s="203">
        <v>12.6</v>
      </c>
      <c r="D52" s="203">
        <v>0</v>
      </c>
      <c r="E52" s="203">
        <v>0</v>
      </c>
      <c r="F52" s="203">
        <v>0</v>
      </c>
      <c r="G52" s="203">
        <v>0</v>
      </c>
      <c r="H52" s="203">
        <v>0</v>
      </c>
      <c r="I52" s="203">
        <v>0</v>
      </c>
    </row>
    <row r="53" spans="1:9" ht="22.5" customHeight="1">
      <c r="A53" s="59" t="s">
        <v>130</v>
      </c>
      <c r="B53" s="203" t="s">
        <v>23</v>
      </c>
      <c r="C53" s="203">
        <v>25747.3</v>
      </c>
      <c r="D53" s="203">
        <v>27337.9</v>
      </c>
      <c r="E53" s="203">
        <v>31695.7</v>
      </c>
      <c r="F53" s="203">
        <v>29477</v>
      </c>
      <c r="G53" s="203">
        <v>31695.7</v>
      </c>
      <c r="H53" s="203">
        <v>31696</v>
      </c>
      <c r="I53" s="203">
        <v>31696</v>
      </c>
    </row>
    <row r="54" spans="1:10" s="148" customFormat="1" ht="22.5" customHeight="1" thickBot="1">
      <c r="A54" s="403" t="s">
        <v>367</v>
      </c>
      <c r="B54" s="403"/>
      <c r="C54" s="403"/>
      <c r="D54" s="403"/>
      <c r="E54" s="403"/>
      <c r="F54" s="403"/>
      <c r="G54" s="403"/>
      <c r="H54" s="403"/>
      <c r="I54" s="403"/>
      <c r="J54" s="403"/>
    </row>
    <row r="55" spans="1:10" s="148" customFormat="1" ht="63.75" customHeight="1">
      <c r="A55" s="404" t="s">
        <v>270</v>
      </c>
      <c r="B55" s="406" t="s">
        <v>271</v>
      </c>
      <c r="C55" s="407"/>
      <c r="D55" s="410" t="s">
        <v>272</v>
      </c>
      <c r="E55" s="410" t="s">
        <v>273</v>
      </c>
      <c r="F55" s="412" t="s">
        <v>274</v>
      </c>
      <c r="G55" s="413"/>
      <c r="H55" s="414"/>
      <c r="I55" s="410" t="s">
        <v>275</v>
      </c>
      <c r="J55" s="415" t="s">
        <v>108</v>
      </c>
    </row>
    <row r="56" spans="1:10" s="148" customFormat="1" ht="54" customHeight="1" thickBot="1">
      <c r="A56" s="445"/>
      <c r="B56" s="446"/>
      <c r="C56" s="447"/>
      <c r="D56" s="448"/>
      <c r="E56" s="448"/>
      <c r="F56" s="151" t="s">
        <v>288</v>
      </c>
      <c r="G56" s="151" t="s">
        <v>289</v>
      </c>
      <c r="H56" s="151" t="s">
        <v>290</v>
      </c>
      <c r="I56" s="448"/>
      <c r="J56" s="449"/>
    </row>
    <row r="57" spans="1:10" s="148" customFormat="1" ht="36.75" customHeight="1">
      <c r="A57" s="456" t="s">
        <v>291</v>
      </c>
      <c r="B57" s="401" t="s">
        <v>368</v>
      </c>
      <c r="C57" s="401"/>
      <c r="D57" s="162">
        <f>D58+D59+D60+D61</f>
        <v>1013.936</v>
      </c>
      <c r="E57" s="163"/>
      <c r="F57" s="162">
        <f>F58+F59+F60+F61</f>
        <v>126783.5</v>
      </c>
      <c r="G57" s="162">
        <f>G58+G59+G60+G61</f>
        <v>1844</v>
      </c>
      <c r="H57" s="162">
        <f>H58+H59+H60+H61</f>
        <v>0</v>
      </c>
      <c r="I57" s="162">
        <f>I58+I59+I60+I61</f>
        <v>760.5</v>
      </c>
      <c r="J57" s="162">
        <f>J58+J59+J60+J61</f>
        <v>10</v>
      </c>
    </row>
    <row r="58" spans="1:10" s="148" customFormat="1" ht="14.25" customHeight="1">
      <c r="A58" s="454"/>
      <c r="B58" s="401">
        <v>2014</v>
      </c>
      <c r="C58" s="401">
        <v>2013</v>
      </c>
      <c r="D58" s="202">
        <v>256.736</v>
      </c>
      <c r="E58" s="164"/>
      <c r="F58" s="162">
        <v>31695.7</v>
      </c>
      <c r="G58" s="162">
        <v>461</v>
      </c>
      <c r="H58" s="162">
        <v>0</v>
      </c>
      <c r="I58" s="162">
        <v>85.2</v>
      </c>
      <c r="J58" s="162">
        <v>10</v>
      </c>
    </row>
    <row r="59" spans="1:10" s="148" customFormat="1" ht="16.5" customHeight="1">
      <c r="A59" s="454"/>
      <c r="B59" s="401">
        <v>2015</v>
      </c>
      <c r="C59" s="401">
        <v>2014</v>
      </c>
      <c r="D59" s="202">
        <v>271.6</v>
      </c>
      <c r="E59" s="160"/>
      <c r="F59" s="162">
        <v>31695.8</v>
      </c>
      <c r="G59" s="162">
        <v>461</v>
      </c>
      <c r="H59" s="162">
        <v>0</v>
      </c>
      <c r="I59" s="162">
        <v>204.7</v>
      </c>
      <c r="J59" s="162"/>
    </row>
    <row r="60" spans="1:10" s="148" customFormat="1" ht="14.25" customHeight="1">
      <c r="A60" s="454"/>
      <c r="B60" s="401">
        <v>2016</v>
      </c>
      <c r="C60" s="401">
        <v>2015</v>
      </c>
      <c r="D60" s="202">
        <v>256.7</v>
      </c>
      <c r="E60" s="160"/>
      <c r="F60" s="162">
        <v>31696</v>
      </c>
      <c r="G60" s="162">
        <v>461</v>
      </c>
      <c r="H60" s="162">
        <v>0</v>
      </c>
      <c r="I60" s="162">
        <v>235.3</v>
      </c>
      <c r="J60" s="162"/>
    </row>
    <row r="61" spans="1:10" s="148" customFormat="1" ht="13.5" customHeight="1">
      <c r="A61" s="457"/>
      <c r="B61" s="401">
        <v>2017</v>
      </c>
      <c r="C61" s="401">
        <v>2016</v>
      </c>
      <c r="D61" s="202">
        <v>228.9</v>
      </c>
      <c r="E61" s="160"/>
      <c r="F61" s="162">
        <v>31696</v>
      </c>
      <c r="G61" s="162">
        <v>461</v>
      </c>
      <c r="H61" s="162">
        <v>0</v>
      </c>
      <c r="I61" s="162">
        <v>235.3</v>
      </c>
      <c r="J61" s="162"/>
    </row>
    <row r="62" spans="1:10" s="148" customFormat="1" ht="28.5" customHeight="1">
      <c r="A62" s="453" t="s">
        <v>292</v>
      </c>
      <c r="B62" s="401" t="s">
        <v>368</v>
      </c>
      <c r="C62" s="401"/>
      <c r="D62" s="202">
        <f>D63+D64+D65+D66</f>
        <v>43.1</v>
      </c>
      <c r="E62" s="165"/>
      <c r="F62" s="165"/>
      <c r="G62" s="165"/>
      <c r="H62" s="165"/>
      <c r="I62" s="165"/>
      <c r="J62" s="166"/>
    </row>
    <row r="63" spans="1:10" s="148" customFormat="1" ht="15.75" customHeight="1">
      <c r="A63" s="454"/>
      <c r="B63" s="401">
        <v>2014</v>
      </c>
      <c r="C63" s="401">
        <v>2013</v>
      </c>
      <c r="D63" s="202"/>
      <c r="E63" s="165"/>
      <c r="F63" s="165"/>
      <c r="G63" s="165"/>
      <c r="H63" s="165"/>
      <c r="I63" s="165"/>
      <c r="J63" s="166"/>
    </row>
    <row r="64" spans="1:10" s="148" customFormat="1" ht="14.25" customHeight="1">
      <c r="A64" s="454"/>
      <c r="B64" s="401">
        <v>2015</v>
      </c>
      <c r="C64" s="401">
        <v>2014</v>
      </c>
      <c r="D64" s="202">
        <v>43.1</v>
      </c>
      <c r="E64" s="165"/>
      <c r="F64" s="165"/>
      <c r="G64" s="165"/>
      <c r="H64" s="165"/>
      <c r="I64" s="165"/>
      <c r="J64" s="166"/>
    </row>
    <row r="65" spans="1:10" s="148" customFormat="1" ht="14.25" customHeight="1">
      <c r="A65" s="454"/>
      <c r="B65" s="401">
        <v>2016</v>
      </c>
      <c r="C65" s="401">
        <v>2015</v>
      </c>
      <c r="D65" s="202"/>
      <c r="E65" s="165"/>
      <c r="F65" s="165"/>
      <c r="G65" s="165"/>
      <c r="H65" s="165"/>
      <c r="I65" s="165"/>
      <c r="J65" s="166"/>
    </row>
    <row r="66" spans="1:10" s="148" customFormat="1" ht="15.75" customHeight="1" thickBot="1">
      <c r="A66" s="455"/>
      <c r="B66" s="401">
        <v>2017</v>
      </c>
      <c r="C66" s="401">
        <v>2016</v>
      </c>
      <c r="D66" s="202"/>
      <c r="E66" s="167"/>
      <c r="F66" s="167"/>
      <c r="G66" s="167"/>
      <c r="H66" s="167"/>
      <c r="I66" s="167"/>
      <c r="J66" s="168"/>
    </row>
    <row r="67" spans="1:10" s="148" customFormat="1" ht="22.5" customHeight="1">
      <c r="A67" s="57"/>
      <c r="B67" s="57"/>
      <c r="C67" s="48"/>
      <c r="D67" s="48"/>
      <c r="E67" s="48"/>
      <c r="F67" s="48"/>
      <c r="G67" s="48"/>
      <c r="H67" s="48"/>
      <c r="I67" s="48"/>
      <c r="J67" s="48"/>
    </row>
    <row r="68" spans="1:10" s="148" customFormat="1" ht="22.5" customHeight="1">
      <c r="A68" s="50" t="s">
        <v>279</v>
      </c>
      <c r="B68" s="452" t="s">
        <v>293</v>
      </c>
      <c r="C68" s="452"/>
      <c r="D68" s="452"/>
      <c r="E68" s="452"/>
      <c r="F68" s="452"/>
      <c r="G68" s="452"/>
      <c r="H68" s="452"/>
      <c r="I68" s="452"/>
      <c r="J68" s="33"/>
    </row>
    <row r="69" spans="1:10" s="148" customFormat="1" ht="22.5" customHeight="1">
      <c r="A69" s="57"/>
      <c r="B69" s="57"/>
      <c r="C69" s="48"/>
      <c r="D69" s="48"/>
      <c r="E69" s="48"/>
      <c r="F69" s="48"/>
      <c r="G69" s="48"/>
      <c r="H69" s="48"/>
      <c r="I69" s="48"/>
      <c r="J69" s="48"/>
    </row>
    <row r="70" spans="1:10" s="148" customFormat="1" ht="22.5" customHeight="1">
      <c r="A70" s="57"/>
      <c r="B70" s="57"/>
      <c r="C70" s="48"/>
      <c r="D70" s="48"/>
      <c r="E70" s="48"/>
      <c r="F70" s="48"/>
      <c r="G70" s="48"/>
      <c r="H70" s="48"/>
      <c r="I70" s="48"/>
      <c r="J70" s="48"/>
    </row>
    <row r="71" spans="1:9" ht="27" customHeight="1">
      <c r="A71" s="50"/>
      <c r="B71" s="452"/>
      <c r="C71" s="452"/>
      <c r="D71" s="452"/>
      <c r="E71" s="452"/>
      <c r="F71" s="452"/>
      <c r="G71" s="452"/>
      <c r="H71" s="452"/>
      <c r="I71" s="452"/>
    </row>
    <row r="72" spans="1:2" ht="7.5" customHeight="1">
      <c r="A72" s="51"/>
      <c r="B72" s="51"/>
    </row>
    <row r="73" spans="1:2" ht="12.75">
      <c r="A73" s="51"/>
      <c r="B73" s="51"/>
    </row>
    <row r="74" spans="1:2" ht="12.75">
      <c r="A74" s="51"/>
      <c r="B74" s="51"/>
    </row>
    <row r="75" spans="1:2" ht="12.75">
      <c r="A75" s="51"/>
      <c r="B75" s="51"/>
    </row>
    <row r="76" spans="1:2" ht="12.75">
      <c r="A76" s="51"/>
      <c r="B76" s="51"/>
    </row>
    <row r="77" spans="1:2" ht="12.75">
      <c r="A77" s="51"/>
      <c r="B77" s="51"/>
    </row>
    <row r="78" spans="1:2" ht="12.75">
      <c r="A78" s="51"/>
      <c r="B78" s="51"/>
    </row>
    <row r="79" spans="1:2" ht="12.75">
      <c r="A79" s="51"/>
      <c r="B79" s="51"/>
    </row>
    <row r="80" spans="1:2" ht="12.75">
      <c r="A80" s="51"/>
      <c r="B80" s="51"/>
    </row>
    <row r="81" spans="1:2" ht="12.75">
      <c r="A81" s="51"/>
      <c r="B81" s="51"/>
    </row>
    <row r="82" spans="1:2" ht="12.75">
      <c r="A82" s="51"/>
      <c r="B82" s="51"/>
    </row>
    <row r="83" spans="1:2" ht="12.75">
      <c r="A83" s="51"/>
      <c r="B83" s="51"/>
    </row>
    <row r="84" spans="1:2" ht="12.75">
      <c r="A84" s="51"/>
      <c r="B84" s="51"/>
    </row>
    <row r="85" spans="1:2" ht="12.75">
      <c r="A85" s="51"/>
      <c r="B85" s="51"/>
    </row>
    <row r="86" spans="1:2" ht="12.75">
      <c r="A86" s="51"/>
      <c r="B86" s="51"/>
    </row>
    <row r="87" spans="1:2" ht="12.75">
      <c r="A87" s="51"/>
      <c r="B87" s="51"/>
    </row>
    <row r="88" spans="1:2" ht="12.75">
      <c r="A88" s="51"/>
      <c r="B88" s="51"/>
    </row>
    <row r="89" spans="1:2" ht="12.75">
      <c r="A89" s="51"/>
      <c r="B89" s="51"/>
    </row>
    <row r="90" spans="1:2" ht="12.75">
      <c r="A90" s="51"/>
      <c r="B90" s="51"/>
    </row>
    <row r="91" spans="1:2" ht="12.75">
      <c r="A91" s="51"/>
      <c r="B91" s="51"/>
    </row>
    <row r="92" spans="1:2" ht="12.75">
      <c r="A92" s="51"/>
      <c r="B92" s="51"/>
    </row>
    <row r="93" spans="1:2" ht="12.75">
      <c r="A93" s="51"/>
      <c r="B93" s="51"/>
    </row>
    <row r="94" spans="1:2" ht="12.75">
      <c r="A94" s="51"/>
      <c r="B94" s="51"/>
    </row>
    <row r="95" spans="1:2" ht="12.75">
      <c r="A95" s="51"/>
      <c r="B95" s="51"/>
    </row>
    <row r="96" spans="1:2" ht="12.75">
      <c r="A96" s="51"/>
      <c r="B96" s="51"/>
    </row>
    <row r="97" spans="1:2" ht="12.75">
      <c r="A97" s="51"/>
      <c r="B97" s="51"/>
    </row>
    <row r="98" spans="1:2" ht="12.75">
      <c r="A98" s="51"/>
      <c r="B98" s="51"/>
    </row>
    <row r="99" spans="1:2" ht="12.75">
      <c r="A99" s="51"/>
      <c r="B99" s="51"/>
    </row>
    <row r="100" spans="1:2" ht="12.75">
      <c r="A100" s="51"/>
      <c r="B100" s="51"/>
    </row>
    <row r="101" spans="1:2" ht="12.75">
      <c r="A101" s="51"/>
      <c r="B101" s="51"/>
    </row>
    <row r="102" spans="1:2" ht="12.75">
      <c r="A102" s="51"/>
      <c r="B102" s="51"/>
    </row>
    <row r="103" spans="1:2" ht="12.75">
      <c r="A103" s="51"/>
      <c r="B103" s="51"/>
    </row>
    <row r="104" spans="1:2" ht="12.75">
      <c r="A104" s="51"/>
      <c r="B104" s="51"/>
    </row>
    <row r="105" spans="1:2" ht="12.75">
      <c r="A105" s="51"/>
      <c r="B105" s="51"/>
    </row>
    <row r="106" spans="1:2" ht="12.75">
      <c r="A106" s="51"/>
      <c r="B106" s="51"/>
    </row>
    <row r="107" spans="1:2" ht="12.75">
      <c r="A107" s="51"/>
      <c r="B107" s="51"/>
    </row>
    <row r="108" spans="1:2" ht="12.75">
      <c r="A108" s="51"/>
      <c r="B108" s="51"/>
    </row>
    <row r="109" spans="1:2" ht="12.75">
      <c r="A109" s="51"/>
      <c r="B109" s="51"/>
    </row>
    <row r="110" spans="1:2" ht="12.75">
      <c r="A110" s="51"/>
      <c r="B110" s="51"/>
    </row>
    <row r="111" spans="1:2" ht="12.75">
      <c r="A111" s="51"/>
      <c r="B111" s="51"/>
    </row>
    <row r="112" spans="1:2" ht="12.75">
      <c r="A112" s="51"/>
      <c r="B112" s="51"/>
    </row>
    <row r="113" spans="1:2" ht="12.75">
      <c r="A113" s="51"/>
      <c r="B113" s="51"/>
    </row>
    <row r="114" spans="1:2" ht="12.75">
      <c r="A114" s="51"/>
      <c r="B114" s="51"/>
    </row>
    <row r="115" spans="1:2" ht="12.75">
      <c r="A115" s="51"/>
      <c r="B115" s="51"/>
    </row>
    <row r="116" spans="1:2" ht="12.75">
      <c r="A116" s="51"/>
      <c r="B116" s="51"/>
    </row>
    <row r="117" spans="1:2" ht="12.75">
      <c r="A117" s="51"/>
      <c r="B117" s="51"/>
    </row>
    <row r="118" spans="1:2" ht="12.75">
      <c r="A118" s="51"/>
      <c r="B118" s="51"/>
    </row>
    <row r="119" spans="1:2" ht="12.75">
      <c r="A119" s="51"/>
      <c r="B119" s="51"/>
    </row>
    <row r="120" spans="1:2" ht="12.75">
      <c r="A120" s="51"/>
      <c r="B120" s="51"/>
    </row>
    <row r="121" spans="1:2" ht="12.75">
      <c r="A121" s="51"/>
      <c r="B121" s="51"/>
    </row>
    <row r="122" spans="1:2" ht="12.75">
      <c r="A122" s="51"/>
      <c r="B122" s="51"/>
    </row>
    <row r="123" spans="1:2" ht="12.75">
      <c r="A123" s="51"/>
      <c r="B123" s="51"/>
    </row>
    <row r="124" spans="1:2" ht="12.75">
      <c r="A124" s="51"/>
      <c r="B124" s="51"/>
    </row>
    <row r="125" spans="1:2" ht="12.75">
      <c r="A125" s="51"/>
      <c r="B125" s="51"/>
    </row>
    <row r="126" spans="1:2" ht="12.75">
      <c r="A126" s="51"/>
      <c r="B126" s="51"/>
    </row>
    <row r="127" spans="1:2" ht="12.75">
      <c r="A127" s="51"/>
      <c r="B127" s="51"/>
    </row>
    <row r="128" spans="1:2" ht="12.75">
      <c r="A128" s="51"/>
      <c r="B128" s="51"/>
    </row>
    <row r="129" spans="1:2" ht="12.75">
      <c r="A129" s="51"/>
      <c r="B129" s="51"/>
    </row>
    <row r="130" spans="1:2" ht="12.75">
      <c r="A130" s="51"/>
      <c r="B130" s="51"/>
    </row>
    <row r="131" spans="1:2" ht="12.75">
      <c r="A131" s="51"/>
      <c r="B131" s="51"/>
    </row>
    <row r="132" spans="1:2" ht="12.75">
      <c r="A132" s="51"/>
      <c r="B132" s="51"/>
    </row>
    <row r="133" spans="1:2" ht="12.75">
      <c r="A133" s="51"/>
      <c r="B133" s="51"/>
    </row>
    <row r="134" spans="1:2" ht="12.75">
      <c r="A134" s="51"/>
      <c r="B134" s="51"/>
    </row>
    <row r="135" spans="1:2" ht="12.75">
      <c r="A135" s="51"/>
      <c r="B135" s="51"/>
    </row>
    <row r="136" spans="1:2" ht="12.75">
      <c r="A136" s="51"/>
      <c r="B136" s="51"/>
    </row>
    <row r="137" spans="1:2" ht="12.75">
      <c r="A137" s="51"/>
      <c r="B137" s="51"/>
    </row>
    <row r="138" spans="1:2" ht="12.75">
      <c r="A138" s="51"/>
      <c r="B138" s="51"/>
    </row>
    <row r="139" spans="1:2" ht="12.75">
      <c r="A139" s="51"/>
      <c r="B139" s="51"/>
    </row>
    <row r="140" spans="1:2" ht="12.75">
      <c r="A140" s="51"/>
      <c r="B140" s="51"/>
    </row>
    <row r="141" spans="1:2" ht="12.75">
      <c r="A141" s="51"/>
      <c r="B141" s="51"/>
    </row>
    <row r="142" spans="1:2" ht="12.75">
      <c r="A142" s="51"/>
      <c r="B142" s="51"/>
    </row>
    <row r="143" spans="1:2" ht="12.75">
      <c r="A143" s="51"/>
      <c r="B143" s="51"/>
    </row>
    <row r="144" spans="1:2" ht="12.75">
      <c r="A144" s="51"/>
      <c r="B144" s="51"/>
    </row>
    <row r="145" spans="1:2" ht="12.75">
      <c r="A145" s="51"/>
      <c r="B145" s="51"/>
    </row>
    <row r="146" spans="1:2" ht="12.75">
      <c r="A146" s="51"/>
      <c r="B146" s="51"/>
    </row>
    <row r="147" spans="1:2" ht="12.75">
      <c r="A147" s="51"/>
      <c r="B147" s="51"/>
    </row>
    <row r="148" spans="1:2" ht="12.75">
      <c r="A148" s="51"/>
      <c r="B148" s="51"/>
    </row>
    <row r="149" spans="1:2" ht="12.75">
      <c r="A149" s="51"/>
      <c r="B149" s="51"/>
    </row>
    <row r="150" spans="1:2" ht="12.75">
      <c r="A150" s="51"/>
      <c r="B150" s="51"/>
    </row>
    <row r="151" spans="1:2" ht="12.75">
      <c r="A151" s="51"/>
      <c r="B151" s="51"/>
    </row>
    <row r="152" spans="1:2" ht="12.75">
      <c r="A152" s="51"/>
      <c r="B152" s="51"/>
    </row>
    <row r="153" spans="1:2" ht="12.75">
      <c r="A153" s="51"/>
      <c r="B153" s="51"/>
    </row>
    <row r="154" spans="1:2" ht="12.75">
      <c r="A154" s="51"/>
      <c r="B154" s="51"/>
    </row>
    <row r="155" spans="1:2" ht="12.75">
      <c r="A155" s="51"/>
      <c r="B155" s="51"/>
    </row>
    <row r="156" spans="1:2" ht="12.75">
      <c r="A156" s="51"/>
      <c r="B156" s="51"/>
    </row>
    <row r="157" spans="1:2" ht="12.75">
      <c r="A157" s="51"/>
      <c r="B157" s="51"/>
    </row>
    <row r="158" spans="1:2" ht="12.75">
      <c r="A158" s="51"/>
      <c r="B158" s="51"/>
    </row>
    <row r="159" spans="1:2" ht="12.75">
      <c r="A159" s="51"/>
      <c r="B159" s="51"/>
    </row>
    <row r="160" spans="1:2" ht="12.75">
      <c r="A160" s="51"/>
      <c r="B160" s="51"/>
    </row>
    <row r="161" spans="1:2" ht="12.75">
      <c r="A161" s="51"/>
      <c r="B161" s="51"/>
    </row>
    <row r="162" spans="1:2" ht="12.75">
      <c r="A162" s="51"/>
      <c r="B162" s="51"/>
    </row>
    <row r="163" spans="1:2" ht="12.75">
      <c r="A163" s="51"/>
      <c r="B163" s="51"/>
    </row>
    <row r="164" spans="1:2" ht="12.75">
      <c r="A164" s="51"/>
      <c r="B164" s="51"/>
    </row>
    <row r="165" spans="1:2" ht="12.75">
      <c r="A165" s="51"/>
      <c r="B165" s="51"/>
    </row>
    <row r="166" spans="1:2" ht="12.75">
      <c r="A166" s="51"/>
      <c r="B166" s="51"/>
    </row>
    <row r="167" spans="1:2" ht="12.75">
      <c r="A167" s="51"/>
      <c r="B167" s="51"/>
    </row>
    <row r="168" spans="1:2" ht="12.75">
      <c r="A168" s="51"/>
      <c r="B168" s="51"/>
    </row>
    <row r="169" spans="1:2" ht="12.75">
      <c r="A169" s="51"/>
      <c r="B169" s="51"/>
    </row>
    <row r="170" spans="1:2" ht="12.75">
      <c r="A170" s="51"/>
      <c r="B170" s="51"/>
    </row>
    <row r="171" spans="1:2" ht="12.75">
      <c r="A171" s="51"/>
      <c r="B171" s="51"/>
    </row>
    <row r="172" spans="1:2" ht="12.75">
      <c r="A172" s="51"/>
      <c r="B172" s="51"/>
    </row>
    <row r="173" spans="1:2" ht="12.75">
      <c r="A173" s="51"/>
      <c r="B173" s="51"/>
    </row>
    <row r="174" spans="1:2" ht="12.75">
      <c r="A174" s="51"/>
      <c r="B174" s="51"/>
    </row>
    <row r="175" spans="1:2" ht="12.75">
      <c r="A175" s="51"/>
      <c r="B175" s="51"/>
    </row>
    <row r="176" spans="1:2" ht="12.75">
      <c r="A176" s="51"/>
      <c r="B176" s="51"/>
    </row>
    <row r="177" spans="1:2" ht="12.75">
      <c r="A177" s="51"/>
      <c r="B177" s="51"/>
    </row>
    <row r="178" spans="1:2" ht="12.75">
      <c r="A178" s="51"/>
      <c r="B178" s="51"/>
    </row>
    <row r="179" spans="1:2" ht="12.75">
      <c r="A179" s="51"/>
      <c r="B179" s="51"/>
    </row>
    <row r="180" spans="1:2" ht="12.75">
      <c r="A180" s="51"/>
      <c r="B180" s="51"/>
    </row>
    <row r="181" spans="1:2" ht="12.75">
      <c r="A181" s="51"/>
      <c r="B181" s="51"/>
    </row>
    <row r="182" spans="1:2" ht="12.75">
      <c r="A182" s="51"/>
      <c r="B182" s="51"/>
    </row>
    <row r="183" spans="1:2" ht="12.75">
      <c r="A183" s="51"/>
      <c r="B183" s="51"/>
    </row>
    <row r="184" spans="1:2" ht="12.75">
      <c r="A184" s="51"/>
      <c r="B184" s="51"/>
    </row>
    <row r="185" spans="1:2" ht="12.75">
      <c r="A185" s="51"/>
      <c r="B185" s="51"/>
    </row>
    <row r="186" spans="1:2" ht="12.75">
      <c r="A186" s="51"/>
      <c r="B186" s="51"/>
    </row>
    <row r="187" spans="1:2" ht="12.75">
      <c r="A187" s="51"/>
      <c r="B187" s="51"/>
    </row>
    <row r="188" spans="1:2" ht="12.75">
      <c r="A188" s="51"/>
      <c r="B188" s="51"/>
    </row>
    <row r="189" spans="1:2" ht="12.75">
      <c r="A189" s="51"/>
      <c r="B189" s="51"/>
    </row>
    <row r="190" spans="1:2" ht="12.75">
      <c r="A190" s="51"/>
      <c r="B190" s="51"/>
    </row>
    <row r="191" spans="1:2" ht="12.75">
      <c r="A191" s="51"/>
      <c r="B191" s="51"/>
    </row>
    <row r="192" spans="1:2" ht="12.75">
      <c r="A192" s="51"/>
      <c r="B192" s="51"/>
    </row>
    <row r="193" spans="1:2" ht="12.75">
      <c r="A193" s="51"/>
      <c r="B193" s="51"/>
    </row>
    <row r="194" spans="1:2" ht="12.75">
      <c r="A194" s="51"/>
      <c r="B194" s="51"/>
    </row>
    <row r="195" spans="1:2" ht="12.75">
      <c r="A195" s="51"/>
      <c r="B195" s="51"/>
    </row>
    <row r="196" spans="1:2" ht="12.75">
      <c r="A196" s="51"/>
      <c r="B196" s="51"/>
    </row>
    <row r="197" spans="1:2" ht="12.75">
      <c r="A197" s="51"/>
      <c r="B197" s="51"/>
    </row>
    <row r="198" spans="1:2" ht="12.75">
      <c r="A198" s="51"/>
      <c r="B198" s="51"/>
    </row>
    <row r="199" spans="1:2" ht="12.75">
      <c r="A199" s="51"/>
      <c r="B199" s="51"/>
    </row>
    <row r="200" spans="1:2" ht="12.75">
      <c r="A200" s="51"/>
      <c r="B200" s="51"/>
    </row>
    <row r="201" spans="1:2" ht="12.75">
      <c r="A201" s="51"/>
      <c r="B201" s="51"/>
    </row>
    <row r="202" spans="1:2" ht="12.75">
      <c r="A202" s="51"/>
      <c r="B202" s="51"/>
    </row>
    <row r="203" spans="1:2" ht="12.75">
      <c r="A203" s="51"/>
      <c r="B203" s="51"/>
    </row>
    <row r="204" spans="1:2" ht="12.75">
      <c r="A204" s="51"/>
      <c r="B204" s="51"/>
    </row>
    <row r="205" spans="1:2" ht="12.75">
      <c r="A205" s="51"/>
      <c r="B205" s="51"/>
    </row>
    <row r="206" spans="1:2" ht="12.75">
      <c r="A206" s="51"/>
      <c r="B206" s="51"/>
    </row>
    <row r="207" spans="1:2" ht="12.75">
      <c r="A207" s="51"/>
      <c r="B207" s="51"/>
    </row>
    <row r="208" spans="1:2" ht="12.75">
      <c r="A208" s="51"/>
      <c r="B208" s="51"/>
    </row>
    <row r="209" spans="1:2" ht="12.75">
      <c r="A209" s="51"/>
      <c r="B209" s="51"/>
    </row>
    <row r="210" spans="1:2" ht="12.75">
      <c r="A210" s="51"/>
      <c r="B210" s="51"/>
    </row>
    <row r="211" spans="1:2" ht="12.75">
      <c r="A211" s="51"/>
      <c r="B211" s="51"/>
    </row>
    <row r="212" spans="1:2" ht="12.75">
      <c r="A212" s="51"/>
      <c r="B212" s="51"/>
    </row>
    <row r="213" spans="1:2" ht="12.75">
      <c r="A213" s="51"/>
      <c r="B213" s="51"/>
    </row>
    <row r="214" spans="1:2" ht="12.75">
      <c r="A214" s="51"/>
      <c r="B214" s="51"/>
    </row>
    <row r="215" spans="1:2" ht="12.75">
      <c r="A215" s="51"/>
      <c r="B215" s="51"/>
    </row>
    <row r="216" spans="1:2" ht="12.75">
      <c r="A216" s="51"/>
      <c r="B216" s="51"/>
    </row>
    <row r="217" spans="1:2" ht="12.75">
      <c r="A217" s="51"/>
      <c r="B217" s="51"/>
    </row>
    <row r="218" spans="1:2" ht="12.75">
      <c r="A218" s="51"/>
      <c r="B218" s="51"/>
    </row>
    <row r="219" spans="1:2" ht="12.75">
      <c r="A219" s="51"/>
      <c r="B219" s="51"/>
    </row>
    <row r="220" spans="1:2" ht="12.75">
      <c r="A220" s="51"/>
      <c r="B220" s="51"/>
    </row>
    <row r="221" spans="1:2" ht="12.75">
      <c r="A221" s="51"/>
      <c r="B221" s="51"/>
    </row>
    <row r="222" spans="1:2" ht="12.75">
      <c r="A222" s="51"/>
      <c r="B222" s="51"/>
    </row>
    <row r="223" spans="1:2" ht="12.75">
      <c r="A223" s="51"/>
      <c r="B223" s="51"/>
    </row>
    <row r="224" spans="1:2" ht="12.75">
      <c r="A224" s="51"/>
      <c r="B224" s="51"/>
    </row>
    <row r="225" spans="1:2" ht="12.75">
      <c r="A225" s="51"/>
      <c r="B225" s="51"/>
    </row>
    <row r="226" spans="1:2" ht="12.75">
      <c r="A226" s="51"/>
      <c r="B226" s="51"/>
    </row>
    <row r="227" spans="1:2" ht="12.75">
      <c r="A227" s="51"/>
      <c r="B227" s="51"/>
    </row>
    <row r="228" spans="1:2" ht="12.75">
      <c r="A228" s="51"/>
      <c r="B228" s="51"/>
    </row>
    <row r="229" spans="1:2" ht="12.75">
      <c r="A229" s="51"/>
      <c r="B229" s="51"/>
    </row>
    <row r="230" spans="1:2" ht="12.75">
      <c r="A230" s="51"/>
      <c r="B230" s="51"/>
    </row>
    <row r="231" spans="1:2" ht="12.75">
      <c r="A231" s="51"/>
      <c r="B231" s="51"/>
    </row>
    <row r="232" spans="1:2" ht="12.75">
      <c r="A232" s="51"/>
      <c r="B232" s="51"/>
    </row>
    <row r="233" spans="1:2" ht="12.75">
      <c r="A233" s="51"/>
      <c r="B233" s="51"/>
    </row>
    <row r="234" spans="1:2" ht="12.75">
      <c r="A234" s="51"/>
      <c r="B234" s="51"/>
    </row>
    <row r="235" spans="1:2" ht="12.75">
      <c r="A235" s="51"/>
      <c r="B235" s="51"/>
    </row>
    <row r="236" spans="1:2" ht="12.75">
      <c r="A236" s="51"/>
      <c r="B236" s="51"/>
    </row>
    <row r="237" spans="1:2" ht="12.75">
      <c r="A237" s="51"/>
      <c r="B237" s="51"/>
    </row>
    <row r="238" spans="1:2" ht="12.75">
      <c r="A238" s="51"/>
      <c r="B238" s="51"/>
    </row>
    <row r="239" spans="1:2" ht="12.75">
      <c r="A239" s="51"/>
      <c r="B239" s="51"/>
    </row>
    <row r="240" spans="1:2" ht="12.75">
      <c r="A240" s="51"/>
      <c r="B240" s="51"/>
    </row>
    <row r="241" spans="1:2" ht="12.75">
      <c r="A241" s="51"/>
      <c r="B241" s="51"/>
    </row>
    <row r="242" spans="1:2" ht="12.75">
      <c r="A242" s="51"/>
      <c r="B242" s="51"/>
    </row>
    <row r="243" spans="1:2" ht="12.75">
      <c r="A243" s="51"/>
      <c r="B243" s="51"/>
    </row>
    <row r="244" spans="1:2" ht="12.75">
      <c r="A244" s="51"/>
      <c r="B244" s="51"/>
    </row>
    <row r="245" spans="1:2" ht="12.75">
      <c r="A245" s="51"/>
      <c r="B245" s="51"/>
    </row>
    <row r="246" spans="1:2" ht="12.75">
      <c r="A246" s="51"/>
      <c r="B246" s="51"/>
    </row>
    <row r="247" spans="1:2" ht="12.75">
      <c r="A247" s="51"/>
      <c r="B247" s="51"/>
    </row>
    <row r="248" spans="1:2" ht="12.75">
      <c r="A248" s="51"/>
      <c r="B248" s="51"/>
    </row>
    <row r="249" spans="1:2" ht="12.75">
      <c r="A249" s="51"/>
      <c r="B249" s="51"/>
    </row>
    <row r="250" spans="1:2" ht="12.75">
      <c r="A250" s="51"/>
      <c r="B250" s="51"/>
    </row>
    <row r="251" spans="1:2" ht="12.75">
      <c r="A251" s="51"/>
      <c r="B251" s="51"/>
    </row>
    <row r="252" spans="1:2" ht="12.75">
      <c r="A252" s="51"/>
      <c r="B252" s="51"/>
    </row>
    <row r="253" spans="1:2" ht="12.75">
      <c r="A253" s="51"/>
      <c r="B253" s="51"/>
    </row>
    <row r="254" spans="1:2" ht="12.75">
      <c r="A254" s="51"/>
      <c r="B254" s="51"/>
    </row>
    <row r="255" spans="1:2" ht="12.75">
      <c r="A255" s="51"/>
      <c r="B255" s="51"/>
    </row>
    <row r="256" spans="1:2" ht="12.75">
      <c r="A256" s="51"/>
      <c r="B256" s="51"/>
    </row>
    <row r="257" spans="1:2" ht="12.75">
      <c r="A257" s="51"/>
      <c r="B257" s="51"/>
    </row>
    <row r="258" spans="1:2" ht="12.75">
      <c r="A258" s="51"/>
      <c r="B258" s="51"/>
    </row>
    <row r="259" spans="1:2" ht="12.75">
      <c r="A259" s="51"/>
      <c r="B259" s="51"/>
    </row>
    <row r="260" spans="1:2" ht="12.75">
      <c r="A260" s="51"/>
      <c r="B260" s="51"/>
    </row>
    <row r="261" spans="1:2" ht="12.75">
      <c r="A261" s="51"/>
      <c r="B261" s="51"/>
    </row>
    <row r="262" spans="1:2" ht="12.75">
      <c r="A262" s="51"/>
      <c r="B262" s="51"/>
    </row>
    <row r="263" spans="1:2" ht="12.75">
      <c r="A263" s="51"/>
      <c r="B263" s="51"/>
    </row>
    <row r="264" spans="1:2" ht="12.75">
      <c r="A264" s="51"/>
      <c r="B264" s="51"/>
    </row>
    <row r="265" spans="1:2" ht="12.75">
      <c r="A265" s="51"/>
      <c r="B265" s="51"/>
    </row>
    <row r="266" spans="1:2" ht="12.75">
      <c r="A266" s="51"/>
      <c r="B266" s="51"/>
    </row>
    <row r="267" spans="1:2" ht="12.75">
      <c r="A267" s="51"/>
      <c r="B267" s="51"/>
    </row>
    <row r="268" spans="1:2" ht="12.75">
      <c r="A268" s="51"/>
      <c r="B268" s="51"/>
    </row>
    <row r="269" spans="1:2" ht="12.75">
      <c r="A269" s="51"/>
      <c r="B269" s="51"/>
    </row>
    <row r="270" spans="1:2" ht="12.75">
      <c r="A270" s="51"/>
      <c r="B270" s="51"/>
    </row>
    <row r="271" spans="1:2" ht="12.75">
      <c r="A271" s="51"/>
      <c r="B271" s="51"/>
    </row>
    <row r="272" spans="1:2" ht="12.75">
      <c r="A272" s="51"/>
      <c r="B272" s="51"/>
    </row>
  </sheetData>
  <mergeCells count="47">
    <mergeCell ref="F1:J1"/>
    <mergeCell ref="A2:J2"/>
    <mergeCell ref="A3:J3"/>
    <mergeCell ref="B4:G4"/>
    <mergeCell ref="A5:J5"/>
    <mergeCell ref="A6:J6"/>
    <mergeCell ref="A7:H7"/>
    <mergeCell ref="A8:A10"/>
    <mergeCell ref="B8:B10"/>
    <mergeCell ref="C8:C10"/>
    <mergeCell ref="D8:D10"/>
    <mergeCell ref="E8:E10"/>
    <mergeCell ref="F8:I8"/>
    <mergeCell ref="F9:G9"/>
    <mergeCell ref="H9:H10"/>
    <mergeCell ref="I9:I10"/>
    <mergeCell ref="A48:A50"/>
    <mergeCell ref="B48:B50"/>
    <mergeCell ref="C48:C50"/>
    <mergeCell ref="D48:D50"/>
    <mergeCell ref="E48:E50"/>
    <mergeCell ref="F48:I48"/>
    <mergeCell ref="F49:G49"/>
    <mergeCell ref="H49:H50"/>
    <mergeCell ref="I49:I50"/>
    <mergeCell ref="A54:J54"/>
    <mergeCell ref="A55:A56"/>
    <mergeCell ref="B55:C56"/>
    <mergeCell ref="D55:D56"/>
    <mergeCell ref="E55:E56"/>
    <mergeCell ref="F55:H55"/>
    <mergeCell ref="I55:I56"/>
    <mergeCell ref="J55:J56"/>
    <mergeCell ref="A57:A61"/>
    <mergeCell ref="B57:C57"/>
    <mergeCell ref="B58:C58"/>
    <mergeCell ref="B59:C59"/>
    <mergeCell ref="B60:C60"/>
    <mergeCell ref="B61:C61"/>
    <mergeCell ref="B68:I68"/>
    <mergeCell ref="B71:I71"/>
    <mergeCell ref="A62:A66"/>
    <mergeCell ref="B62:C62"/>
    <mergeCell ref="B63:C63"/>
    <mergeCell ref="B64:C64"/>
    <mergeCell ref="B65:C65"/>
    <mergeCell ref="B66:C66"/>
  </mergeCells>
  <printOptions/>
  <pageMargins left="0.75" right="0.75" top="1" bottom="1" header="0.5" footer="0.5"/>
  <pageSetup horizontalDpi="600" verticalDpi="600" orientation="portrait" paperSize="9" scale="44" r:id="rId1"/>
  <rowBreaks count="1" manualBreakCount="1">
    <brk id="68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277"/>
  <sheetViews>
    <sheetView view="pageBreakPreview" zoomScale="60" workbookViewId="0" topLeftCell="A17">
      <selection activeCell="A17" sqref="A1:IV16384"/>
    </sheetView>
  </sheetViews>
  <sheetFormatPr defaultColWidth="9.00390625" defaultRowHeight="12.75"/>
  <cols>
    <col min="1" max="1" width="42.75390625" style="52" customWidth="1"/>
    <col min="2" max="2" width="11.125" style="52" customWidth="1"/>
    <col min="3" max="5" width="14.75390625" style="33" customWidth="1"/>
    <col min="6" max="6" width="15.75390625" style="33" customWidth="1"/>
    <col min="7" max="7" width="12.25390625" style="33" customWidth="1"/>
    <col min="8" max="8" width="13.375" style="33" customWidth="1"/>
    <col min="9" max="9" width="13.625" style="33" customWidth="1"/>
    <col min="10" max="10" width="14.75390625" style="33" customWidth="1"/>
    <col min="11" max="16384" width="9.125" style="33" customWidth="1"/>
  </cols>
  <sheetData>
    <row r="1" spans="1:10" ht="15.75">
      <c r="A1" s="31"/>
      <c r="B1" s="31"/>
      <c r="C1" s="32"/>
      <c r="D1" s="32"/>
      <c r="E1" s="32"/>
      <c r="F1" s="434" t="s">
        <v>238</v>
      </c>
      <c r="G1" s="434"/>
      <c r="H1" s="434"/>
      <c r="I1" s="434"/>
      <c r="J1" s="434"/>
    </row>
    <row r="2" spans="1:10" ht="24.75" customHeight="1">
      <c r="A2" s="403" t="s">
        <v>173</v>
      </c>
      <c r="B2" s="403"/>
      <c r="C2" s="403"/>
      <c r="D2" s="403"/>
      <c r="E2" s="403"/>
      <c r="F2" s="403"/>
      <c r="G2" s="403"/>
      <c r="H2" s="403"/>
      <c r="I2" s="403"/>
      <c r="J2" s="403"/>
    </row>
    <row r="3" spans="1:10" ht="14.25" customHeight="1">
      <c r="A3" s="435" t="s">
        <v>263</v>
      </c>
      <c r="B3" s="435"/>
      <c r="C3" s="435"/>
      <c r="D3" s="435"/>
      <c r="E3" s="435"/>
      <c r="F3" s="435"/>
      <c r="G3" s="435"/>
      <c r="H3" s="435"/>
      <c r="I3" s="435"/>
      <c r="J3" s="435"/>
    </row>
    <row r="4" spans="1:10" ht="14.25" customHeight="1">
      <c r="A4" s="463" t="s">
        <v>295</v>
      </c>
      <c r="B4" s="463"/>
      <c r="C4" s="463"/>
      <c r="D4" s="463"/>
      <c r="E4" s="463"/>
      <c r="F4" s="463"/>
      <c r="G4" s="463"/>
      <c r="H4" s="463"/>
      <c r="I4" s="463"/>
      <c r="J4" s="463"/>
    </row>
    <row r="5" spans="1:10" ht="7.5" customHeight="1">
      <c r="A5" s="463"/>
      <c r="B5" s="463"/>
      <c r="C5" s="463"/>
      <c r="D5" s="463"/>
      <c r="E5" s="463"/>
      <c r="F5" s="463"/>
      <c r="G5" s="463"/>
      <c r="H5" s="463"/>
      <c r="I5" s="463"/>
      <c r="J5" s="463"/>
    </row>
    <row r="6" spans="1:10" ht="15.75">
      <c r="A6" s="435" t="s">
        <v>174</v>
      </c>
      <c r="B6" s="435"/>
      <c r="C6" s="435"/>
      <c r="D6" s="435"/>
      <c r="E6" s="435"/>
      <c r="F6" s="435"/>
      <c r="G6" s="435"/>
      <c r="H6" s="435"/>
      <c r="I6" s="435"/>
      <c r="J6" s="435"/>
    </row>
    <row r="7" spans="1:8" ht="13.5" thickBot="1">
      <c r="A7" s="437"/>
      <c r="B7" s="437"/>
      <c r="C7" s="437"/>
      <c r="D7" s="437"/>
      <c r="E7" s="437"/>
      <c r="F7" s="437"/>
      <c r="G7" s="437"/>
      <c r="H7" s="437"/>
    </row>
    <row r="8" spans="1:9" ht="18.75" customHeight="1">
      <c r="A8" s="438" t="s">
        <v>175</v>
      </c>
      <c r="B8" s="430" t="s">
        <v>176</v>
      </c>
      <c r="C8" s="417" t="s">
        <v>265</v>
      </c>
      <c r="D8" s="417" t="s">
        <v>342</v>
      </c>
      <c r="E8" s="417" t="s">
        <v>343</v>
      </c>
      <c r="F8" s="420" t="s">
        <v>177</v>
      </c>
      <c r="G8" s="413"/>
      <c r="H8" s="413"/>
      <c r="I8" s="414"/>
    </row>
    <row r="9" spans="1:9" ht="18.75" customHeight="1">
      <c r="A9" s="439"/>
      <c r="B9" s="418"/>
      <c r="C9" s="418"/>
      <c r="D9" s="418"/>
      <c r="E9" s="418"/>
      <c r="F9" s="421">
        <v>2015</v>
      </c>
      <c r="G9" s="422"/>
      <c r="H9" s="423" t="s">
        <v>241</v>
      </c>
      <c r="I9" s="424" t="s">
        <v>330</v>
      </c>
    </row>
    <row r="10" spans="1:9" ht="16.5" customHeight="1">
      <c r="A10" s="439"/>
      <c r="B10" s="418"/>
      <c r="C10" s="419"/>
      <c r="D10" s="419"/>
      <c r="E10" s="419"/>
      <c r="F10" s="204" t="s">
        <v>79</v>
      </c>
      <c r="G10" s="229" t="s">
        <v>2</v>
      </c>
      <c r="H10" s="411"/>
      <c r="I10" s="409"/>
    </row>
    <row r="11" spans="1:9" ht="31.5" customHeight="1">
      <c r="A11" s="145" t="s">
        <v>178</v>
      </c>
      <c r="B11" s="53" t="s">
        <v>12</v>
      </c>
      <c r="C11" s="54">
        <v>25</v>
      </c>
      <c r="D11" s="54">
        <v>26</v>
      </c>
      <c r="E11" s="54">
        <v>29</v>
      </c>
      <c r="F11" s="54">
        <v>33</v>
      </c>
      <c r="G11" s="54">
        <v>33</v>
      </c>
      <c r="H11" s="54">
        <v>36</v>
      </c>
      <c r="I11" s="54">
        <v>37</v>
      </c>
    </row>
    <row r="12" spans="1:9" ht="33" customHeight="1">
      <c r="A12" s="145" t="s">
        <v>179</v>
      </c>
      <c r="B12" s="53" t="s">
        <v>12</v>
      </c>
      <c r="C12" s="54">
        <v>92</v>
      </c>
      <c r="D12" s="54">
        <v>93</v>
      </c>
      <c r="E12" s="54">
        <v>94</v>
      </c>
      <c r="F12" s="54">
        <v>95</v>
      </c>
      <c r="G12" s="54">
        <v>95</v>
      </c>
      <c r="H12" s="54">
        <v>95</v>
      </c>
      <c r="I12" s="54">
        <v>95</v>
      </c>
    </row>
    <row r="13" spans="1:9" ht="36.75" customHeight="1">
      <c r="A13" s="145" t="s">
        <v>180</v>
      </c>
      <c r="B13" s="53" t="s">
        <v>181</v>
      </c>
      <c r="C13" s="64"/>
      <c r="D13" s="64"/>
      <c r="E13" s="64"/>
      <c r="F13" s="64"/>
      <c r="G13" s="64"/>
      <c r="H13" s="64"/>
      <c r="I13" s="64"/>
    </row>
    <row r="14" spans="1:9" ht="27" customHeight="1">
      <c r="A14" s="145" t="s">
        <v>182</v>
      </c>
      <c r="B14" s="53" t="s">
        <v>181</v>
      </c>
      <c r="C14" s="242">
        <v>0</v>
      </c>
      <c r="D14" s="242">
        <v>0</v>
      </c>
      <c r="E14" s="240">
        <v>0.5</v>
      </c>
      <c r="F14" s="240">
        <v>8.3</v>
      </c>
      <c r="G14" s="240">
        <v>8.3</v>
      </c>
      <c r="H14" s="242">
        <v>0</v>
      </c>
      <c r="I14" s="242">
        <v>0</v>
      </c>
    </row>
    <row r="15" spans="1:9" ht="21" customHeight="1">
      <c r="A15" s="146" t="s">
        <v>15</v>
      </c>
      <c r="B15" s="53"/>
      <c r="C15" s="64"/>
      <c r="D15" s="64"/>
      <c r="E15" s="55"/>
      <c r="F15" s="55"/>
      <c r="G15" s="55"/>
      <c r="H15" s="64"/>
      <c r="I15" s="64"/>
    </row>
    <row r="16" spans="1:9" ht="21.75" customHeight="1">
      <c r="A16" s="146" t="s">
        <v>209</v>
      </c>
      <c r="B16" s="53" t="s">
        <v>181</v>
      </c>
      <c r="C16" s="64"/>
      <c r="D16" s="64"/>
      <c r="E16" s="55">
        <v>0.5</v>
      </c>
      <c r="F16" s="55">
        <v>0.7</v>
      </c>
      <c r="G16" s="55">
        <v>0.7</v>
      </c>
      <c r="H16" s="64"/>
      <c r="I16" s="64"/>
    </row>
    <row r="17" spans="1:9" ht="21.75" customHeight="1">
      <c r="A17" s="146" t="s">
        <v>210</v>
      </c>
      <c r="B17" s="53" t="s">
        <v>181</v>
      </c>
      <c r="C17" s="64"/>
      <c r="D17" s="64"/>
      <c r="E17" s="55"/>
      <c r="F17" s="55">
        <v>7.6</v>
      </c>
      <c r="G17" s="55">
        <v>7.6</v>
      </c>
      <c r="H17" s="64"/>
      <c r="I17" s="64"/>
    </row>
    <row r="18" spans="1:9" ht="21" customHeight="1">
      <c r="A18" s="146" t="s">
        <v>211</v>
      </c>
      <c r="B18" s="53" t="s">
        <v>181</v>
      </c>
      <c r="C18" s="64"/>
      <c r="D18" s="64"/>
      <c r="E18" s="64"/>
      <c r="F18" s="64"/>
      <c r="G18" s="64"/>
      <c r="H18" s="64"/>
      <c r="I18" s="64"/>
    </row>
    <row r="19" spans="1:9" ht="23.25" customHeight="1">
      <c r="A19" s="146" t="s">
        <v>212</v>
      </c>
      <c r="B19" s="53" t="s">
        <v>181</v>
      </c>
      <c r="C19" s="64"/>
      <c r="D19" s="64"/>
      <c r="E19" s="64"/>
      <c r="F19" s="64"/>
      <c r="G19" s="64"/>
      <c r="H19" s="64"/>
      <c r="I19" s="64"/>
    </row>
    <row r="20" spans="1:9" ht="21.75" customHeight="1">
      <c r="A20" s="146" t="s">
        <v>213</v>
      </c>
      <c r="B20" s="53" t="s">
        <v>181</v>
      </c>
      <c r="C20" s="64"/>
      <c r="D20" s="64"/>
      <c r="E20" s="64"/>
      <c r="F20" s="64"/>
      <c r="G20" s="64"/>
      <c r="H20" s="64"/>
      <c r="I20" s="64"/>
    </row>
    <row r="21" spans="1:9" ht="20.25" customHeight="1">
      <c r="A21" s="146" t="s">
        <v>214</v>
      </c>
      <c r="B21" s="53" t="s">
        <v>181</v>
      </c>
      <c r="C21" s="64"/>
      <c r="D21" s="64"/>
      <c r="E21" s="64"/>
      <c r="F21" s="64"/>
      <c r="G21" s="64"/>
      <c r="H21" s="64"/>
      <c r="I21" s="64"/>
    </row>
    <row r="22" spans="1:9" ht="41.25" customHeight="1">
      <c r="A22" s="145" t="s">
        <v>183</v>
      </c>
      <c r="B22" s="53" t="s">
        <v>181</v>
      </c>
      <c r="C22" s="54">
        <v>59160</v>
      </c>
      <c r="D22" s="54">
        <v>65609</v>
      </c>
      <c r="E22" s="54">
        <v>78100</v>
      </c>
      <c r="F22" s="54">
        <v>86500</v>
      </c>
      <c r="G22" s="54">
        <v>86500</v>
      </c>
      <c r="H22" s="54">
        <v>106700</v>
      </c>
      <c r="I22" s="54">
        <v>109600</v>
      </c>
    </row>
    <row r="23" spans="1:9" ht="35.25" customHeight="1">
      <c r="A23" s="59" t="s">
        <v>184</v>
      </c>
      <c r="B23" s="53" t="s">
        <v>12</v>
      </c>
      <c r="C23" s="54"/>
      <c r="D23" s="54"/>
      <c r="E23" s="54"/>
      <c r="F23" s="54"/>
      <c r="G23" s="54"/>
      <c r="H23" s="54"/>
      <c r="I23" s="54"/>
    </row>
    <row r="24" spans="1:9" ht="36.75" customHeight="1">
      <c r="A24" s="145" t="s">
        <v>185</v>
      </c>
      <c r="B24" s="53" t="s">
        <v>181</v>
      </c>
      <c r="C24" s="54">
        <v>164</v>
      </c>
      <c r="D24" s="54">
        <v>23</v>
      </c>
      <c r="E24" s="54">
        <v>380</v>
      </c>
      <c r="F24" s="54">
        <v>390</v>
      </c>
      <c r="G24" s="54">
        <v>390</v>
      </c>
      <c r="H24" s="54">
        <v>400</v>
      </c>
      <c r="I24" s="54">
        <v>420</v>
      </c>
    </row>
    <row r="25" spans="1:9" ht="43.5" customHeight="1">
      <c r="A25" s="145" t="s">
        <v>186</v>
      </c>
      <c r="B25" s="53" t="s">
        <v>181</v>
      </c>
      <c r="C25" s="54">
        <v>58996</v>
      </c>
      <c r="D25" s="54">
        <v>65586</v>
      </c>
      <c r="E25" s="54">
        <v>77720</v>
      </c>
      <c r="F25" s="54">
        <v>86110</v>
      </c>
      <c r="G25" s="54">
        <v>86110</v>
      </c>
      <c r="H25" s="54">
        <v>106300</v>
      </c>
      <c r="I25" s="54">
        <v>109180</v>
      </c>
    </row>
    <row r="26" spans="1:9" ht="34.5" customHeight="1">
      <c r="A26" s="145" t="s">
        <v>187</v>
      </c>
      <c r="B26" s="53" t="s">
        <v>13</v>
      </c>
      <c r="C26" s="54">
        <v>1</v>
      </c>
      <c r="D26" s="54">
        <v>1</v>
      </c>
      <c r="E26" s="54">
        <v>1</v>
      </c>
      <c r="F26" s="54">
        <v>1</v>
      </c>
      <c r="G26" s="54">
        <v>1</v>
      </c>
      <c r="H26" s="54">
        <v>1</v>
      </c>
      <c r="I26" s="54">
        <v>1</v>
      </c>
    </row>
    <row r="27" spans="1:9" ht="30.75" customHeight="1">
      <c r="A27" s="145" t="s">
        <v>188</v>
      </c>
      <c r="B27" s="53"/>
      <c r="C27" s="54"/>
      <c r="D27" s="54"/>
      <c r="E27" s="54"/>
      <c r="F27" s="54"/>
      <c r="G27" s="54"/>
      <c r="H27" s="54"/>
      <c r="I27" s="54"/>
    </row>
    <row r="28" spans="1:9" ht="15.75">
      <c r="A28" s="59" t="s">
        <v>189</v>
      </c>
      <c r="B28" s="53" t="s">
        <v>12</v>
      </c>
      <c r="C28" s="54">
        <v>4.8</v>
      </c>
      <c r="D28" s="54">
        <v>4.2</v>
      </c>
      <c r="E28" s="54">
        <v>4.5</v>
      </c>
      <c r="F28" s="54">
        <v>4.4</v>
      </c>
      <c r="G28" s="54">
        <v>4.4</v>
      </c>
      <c r="H28" s="54">
        <v>4.4</v>
      </c>
      <c r="I28" s="54">
        <v>4.4</v>
      </c>
    </row>
    <row r="29" spans="1:9" ht="15.75">
      <c r="A29" s="59" t="s">
        <v>190</v>
      </c>
      <c r="B29" s="53" t="s">
        <v>12</v>
      </c>
      <c r="C29" s="54"/>
      <c r="D29" s="54"/>
      <c r="E29" s="54">
        <v>1.9</v>
      </c>
      <c r="F29" s="54">
        <v>2.1</v>
      </c>
      <c r="G29" s="54">
        <v>2.1</v>
      </c>
      <c r="H29" s="54">
        <v>2.1</v>
      </c>
      <c r="I29" s="54">
        <v>2.1</v>
      </c>
    </row>
    <row r="30" spans="1:9" ht="15.75">
      <c r="A30" s="59" t="s">
        <v>191</v>
      </c>
      <c r="B30" s="53" t="s">
        <v>12</v>
      </c>
      <c r="C30" s="54">
        <v>2</v>
      </c>
      <c r="D30" s="54">
        <v>2.1</v>
      </c>
      <c r="E30" s="54">
        <v>2.7</v>
      </c>
      <c r="F30" s="54">
        <v>2.8</v>
      </c>
      <c r="G30" s="54">
        <v>2.8</v>
      </c>
      <c r="H30" s="54">
        <v>2.8</v>
      </c>
      <c r="I30" s="54">
        <v>2.8</v>
      </c>
    </row>
    <row r="31" spans="1:9" ht="15.75">
      <c r="A31" s="59" t="s">
        <v>192</v>
      </c>
      <c r="B31" s="53" t="s">
        <v>12</v>
      </c>
      <c r="C31" s="54"/>
      <c r="D31" s="54"/>
      <c r="E31" s="54"/>
      <c r="F31" s="54"/>
      <c r="G31" s="54"/>
      <c r="H31" s="54"/>
      <c r="I31" s="54"/>
    </row>
    <row r="32" spans="1:9" ht="34.5" customHeight="1">
      <c r="A32" s="145" t="s">
        <v>193</v>
      </c>
      <c r="B32" s="53"/>
      <c r="C32" s="54"/>
      <c r="D32" s="54"/>
      <c r="E32" s="54"/>
      <c r="F32" s="54"/>
      <c r="G32" s="54"/>
      <c r="H32" s="54"/>
      <c r="I32" s="54"/>
    </row>
    <row r="33" spans="1:9" ht="15.75">
      <c r="A33" s="147" t="s">
        <v>194</v>
      </c>
      <c r="B33" s="53" t="s">
        <v>181</v>
      </c>
      <c r="C33" s="54">
        <v>8887</v>
      </c>
      <c r="D33" s="54">
        <v>6501</v>
      </c>
      <c r="E33" s="54">
        <v>9100</v>
      </c>
      <c r="F33" s="54">
        <v>9380</v>
      </c>
      <c r="G33" s="54">
        <v>9380</v>
      </c>
      <c r="H33" s="54">
        <v>9510</v>
      </c>
      <c r="I33" s="54">
        <v>9770</v>
      </c>
    </row>
    <row r="34" spans="1:9" ht="15.75">
      <c r="A34" s="147" t="s">
        <v>195</v>
      </c>
      <c r="B34" s="53" t="s">
        <v>181</v>
      </c>
      <c r="C34" s="54">
        <v>8855</v>
      </c>
      <c r="D34" s="54">
        <v>3942</v>
      </c>
      <c r="E34" s="54">
        <v>9270</v>
      </c>
      <c r="F34" s="54">
        <v>9430</v>
      </c>
      <c r="G34" s="54">
        <v>9430</v>
      </c>
      <c r="H34" s="54">
        <v>9600</v>
      </c>
      <c r="I34" s="54">
        <v>9800</v>
      </c>
    </row>
    <row r="35" spans="1:9" ht="31.5">
      <c r="A35" s="59" t="s">
        <v>196</v>
      </c>
      <c r="B35" s="53" t="s">
        <v>181</v>
      </c>
      <c r="C35" s="54"/>
      <c r="D35" s="54"/>
      <c r="E35" s="54"/>
      <c r="F35" s="54"/>
      <c r="G35" s="54"/>
      <c r="H35" s="54"/>
      <c r="I35" s="54"/>
    </row>
    <row r="36" spans="1:9" ht="15.75">
      <c r="A36" s="147" t="s">
        <v>194</v>
      </c>
      <c r="B36" s="53" t="s">
        <v>181</v>
      </c>
      <c r="C36" s="54"/>
      <c r="D36" s="54"/>
      <c r="E36" s="54"/>
      <c r="F36" s="54"/>
      <c r="G36" s="54"/>
      <c r="H36" s="54"/>
      <c r="I36" s="54"/>
    </row>
    <row r="37" spans="1:9" ht="15.75">
      <c r="A37" s="147" t="s">
        <v>195</v>
      </c>
      <c r="B37" s="53" t="s">
        <v>181</v>
      </c>
      <c r="C37" s="54"/>
      <c r="D37" s="54"/>
      <c r="E37" s="54"/>
      <c r="F37" s="54"/>
      <c r="G37" s="54"/>
      <c r="H37" s="54"/>
      <c r="I37" s="54"/>
    </row>
    <row r="38" spans="1:9" ht="33" customHeight="1">
      <c r="A38" s="145" t="s">
        <v>197</v>
      </c>
      <c r="B38" s="53" t="s">
        <v>181</v>
      </c>
      <c r="C38" s="54">
        <f>C40+C41</f>
        <v>2914</v>
      </c>
      <c r="D38" s="54">
        <f aca="true" t="shared" si="0" ref="D38:I38">D40+D41</f>
        <v>2559</v>
      </c>
      <c r="E38" s="54">
        <f t="shared" si="0"/>
        <v>2450</v>
      </c>
      <c r="F38" s="54">
        <f t="shared" si="0"/>
        <v>2400</v>
      </c>
      <c r="G38" s="54">
        <f t="shared" si="0"/>
        <v>2400</v>
      </c>
      <c r="H38" s="54">
        <f t="shared" si="0"/>
        <v>2310</v>
      </c>
      <c r="I38" s="54">
        <f t="shared" si="0"/>
        <v>2280</v>
      </c>
    </row>
    <row r="39" spans="1:9" ht="15.75">
      <c r="A39" s="59" t="s">
        <v>198</v>
      </c>
      <c r="B39" s="53"/>
      <c r="C39" s="54"/>
      <c r="D39" s="54"/>
      <c r="E39" s="54"/>
      <c r="F39" s="54"/>
      <c r="G39" s="54"/>
      <c r="H39" s="54"/>
      <c r="I39" s="54"/>
    </row>
    <row r="40" spans="1:9" ht="15.75">
      <c r="A40" s="147" t="s">
        <v>199</v>
      </c>
      <c r="B40" s="53" t="s">
        <v>181</v>
      </c>
      <c r="C40" s="53">
        <v>1417</v>
      </c>
      <c r="D40" s="53">
        <v>754</v>
      </c>
      <c r="E40" s="53">
        <v>1150</v>
      </c>
      <c r="F40" s="53">
        <v>1200</v>
      </c>
      <c r="G40" s="53">
        <v>1200</v>
      </c>
      <c r="H40" s="53">
        <v>1250</v>
      </c>
      <c r="I40" s="53">
        <v>1150</v>
      </c>
    </row>
    <row r="41" spans="1:9" ht="15.75">
      <c r="A41" s="147" t="s">
        <v>200</v>
      </c>
      <c r="B41" s="53" t="s">
        <v>181</v>
      </c>
      <c r="C41" s="53">
        <v>1497</v>
      </c>
      <c r="D41" s="53">
        <v>1805</v>
      </c>
      <c r="E41" s="53">
        <v>1300</v>
      </c>
      <c r="F41" s="53">
        <v>1200</v>
      </c>
      <c r="G41" s="53">
        <v>1200</v>
      </c>
      <c r="H41" s="53">
        <v>1060</v>
      </c>
      <c r="I41" s="53">
        <v>1130</v>
      </c>
    </row>
    <row r="42" spans="1:9" ht="15.75">
      <c r="A42" s="147" t="s">
        <v>201</v>
      </c>
      <c r="B42" s="53" t="s">
        <v>181</v>
      </c>
      <c r="C42" s="53"/>
      <c r="D42" s="53"/>
      <c r="E42" s="53"/>
      <c r="F42" s="53"/>
      <c r="G42" s="53"/>
      <c r="H42" s="53"/>
      <c r="I42" s="53"/>
    </row>
    <row r="43" spans="1:9" ht="32.25" customHeight="1">
      <c r="A43" s="145" t="s">
        <v>202</v>
      </c>
      <c r="B43" s="53" t="s">
        <v>203</v>
      </c>
      <c r="C43" s="240">
        <v>68</v>
      </c>
      <c r="D43" s="240">
        <v>66</v>
      </c>
      <c r="E43" s="240">
        <v>74</v>
      </c>
      <c r="F43" s="240">
        <v>74</v>
      </c>
      <c r="G43" s="240">
        <v>74</v>
      </c>
      <c r="H43" s="240">
        <v>74</v>
      </c>
      <c r="I43" s="240">
        <v>76</v>
      </c>
    </row>
    <row r="44" spans="1:9" ht="32.25" customHeight="1">
      <c r="A44" s="145" t="s">
        <v>204</v>
      </c>
      <c r="B44" s="53" t="s">
        <v>14</v>
      </c>
      <c r="C44" s="55">
        <v>0</v>
      </c>
      <c r="D44" s="55">
        <v>1</v>
      </c>
      <c r="E44" s="55">
        <v>3</v>
      </c>
      <c r="F44" s="55">
        <v>2</v>
      </c>
      <c r="G44" s="55">
        <v>2</v>
      </c>
      <c r="H44" s="55">
        <v>0</v>
      </c>
      <c r="I44" s="55">
        <v>0</v>
      </c>
    </row>
    <row r="45" spans="1:9" ht="34.5" customHeight="1">
      <c r="A45" s="145" t="s">
        <v>205</v>
      </c>
      <c r="B45" s="53" t="s">
        <v>181</v>
      </c>
      <c r="C45" s="240">
        <v>11397</v>
      </c>
      <c r="D45" s="240">
        <v>13076</v>
      </c>
      <c r="E45" s="240">
        <v>13967</v>
      </c>
      <c r="F45" s="240">
        <v>15133</v>
      </c>
      <c r="G45" s="240">
        <v>15133</v>
      </c>
      <c r="H45" s="240">
        <v>16275</v>
      </c>
      <c r="I45" s="240">
        <v>16715</v>
      </c>
    </row>
    <row r="46" spans="1:9" ht="34.5" customHeight="1" thickBot="1">
      <c r="A46" s="169" t="s">
        <v>206</v>
      </c>
      <c r="B46" s="170" t="s">
        <v>181</v>
      </c>
      <c r="C46" s="239">
        <v>0</v>
      </c>
      <c r="D46" s="239">
        <v>0</v>
      </c>
      <c r="E46" s="239">
        <v>0</v>
      </c>
      <c r="F46" s="239">
        <v>0</v>
      </c>
      <c r="G46" s="239">
        <v>0</v>
      </c>
      <c r="H46" s="239">
        <v>0</v>
      </c>
      <c r="I46" s="239">
        <v>0</v>
      </c>
    </row>
    <row r="47" spans="1:10" ht="13.5" customHeight="1">
      <c r="A47" s="47"/>
      <c r="B47" s="34"/>
      <c r="C47" s="48"/>
      <c r="D47" s="48"/>
      <c r="E47" s="48"/>
      <c r="F47" s="48"/>
      <c r="G47" s="48"/>
      <c r="H47" s="48"/>
      <c r="I47" s="48"/>
      <c r="J47" s="48"/>
    </row>
    <row r="48" spans="1:10" ht="19.5" customHeight="1" thickBot="1">
      <c r="A48" s="49"/>
      <c r="B48" s="50"/>
      <c r="C48" s="32"/>
      <c r="D48" s="32"/>
      <c r="E48" s="32"/>
      <c r="F48" s="32"/>
      <c r="G48" s="32"/>
      <c r="H48" s="32"/>
      <c r="I48" s="32"/>
      <c r="J48" s="32"/>
    </row>
    <row r="49" spans="1:9" ht="15.75" customHeight="1">
      <c r="A49" s="450" t="s">
        <v>207</v>
      </c>
      <c r="B49" s="430" t="s">
        <v>176</v>
      </c>
      <c r="C49" s="417" t="s">
        <v>265</v>
      </c>
      <c r="D49" s="417" t="s">
        <v>342</v>
      </c>
      <c r="E49" s="417" t="s">
        <v>343</v>
      </c>
      <c r="F49" s="420" t="s">
        <v>177</v>
      </c>
      <c r="G49" s="413"/>
      <c r="H49" s="413"/>
      <c r="I49" s="414"/>
    </row>
    <row r="50" spans="1:9" ht="15.75" customHeight="1">
      <c r="A50" s="451"/>
      <c r="B50" s="418"/>
      <c r="C50" s="418"/>
      <c r="D50" s="418"/>
      <c r="E50" s="418"/>
      <c r="F50" s="421">
        <v>2015</v>
      </c>
      <c r="G50" s="422"/>
      <c r="H50" s="423" t="s">
        <v>241</v>
      </c>
      <c r="I50" s="424" t="s">
        <v>330</v>
      </c>
    </row>
    <row r="51" spans="1:9" ht="18.75" customHeight="1">
      <c r="A51" s="451"/>
      <c r="B51" s="418"/>
      <c r="C51" s="419"/>
      <c r="D51" s="419"/>
      <c r="E51" s="419"/>
      <c r="F51" s="204" t="s">
        <v>79</v>
      </c>
      <c r="G51" s="229" t="s">
        <v>2</v>
      </c>
      <c r="H51" s="411"/>
      <c r="I51" s="409"/>
    </row>
    <row r="52" spans="1:9" ht="18.75" customHeight="1">
      <c r="A52" s="59" t="s">
        <v>233</v>
      </c>
      <c r="B52" s="53" t="s">
        <v>216</v>
      </c>
      <c r="C52" s="55">
        <v>65.4</v>
      </c>
      <c r="D52" s="55">
        <v>42.5</v>
      </c>
      <c r="E52" s="55">
        <v>75</v>
      </c>
      <c r="F52" s="55">
        <v>80</v>
      </c>
      <c r="G52" s="55">
        <v>80</v>
      </c>
      <c r="H52" s="55">
        <v>85</v>
      </c>
      <c r="I52" s="55">
        <v>90</v>
      </c>
    </row>
    <row r="53" spans="1:9" ht="18.75" customHeight="1">
      <c r="A53" s="59" t="s">
        <v>217</v>
      </c>
      <c r="B53" s="53" t="s">
        <v>216</v>
      </c>
      <c r="C53" s="55">
        <v>0.9</v>
      </c>
      <c r="D53" s="55">
        <v>0</v>
      </c>
      <c r="E53" s="55">
        <v>0.15</v>
      </c>
      <c r="F53" s="55">
        <v>0.3</v>
      </c>
      <c r="G53" s="55">
        <v>0.3</v>
      </c>
      <c r="H53" s="55">
        <v>0.4</v>
      </c>
      <c r="I53" s="55">
        <v>0.4</v>
      </c>
    </row>
    <row r="54" spans="1:9" ht="18.75" customHeight="1">
      <c r="A54" s="59" t="s">
        <v>296</v>
      </c>
      <c r="B54" s="53" t="s">
        <v>216</v>
      </c>
      <c r="C54" s="55">
        <v>0.6</v>
      </c>
      <c r="D54" s="55">
        <v>0.8</v>
      </c>
      <c r="E54" s="55">
        <v>1.2</v>
      </c>
      <c r="F54" s="55">
        <v>1.4</v>
      </c>
      <c r="G54" s="55">
        <v>1.4</v>
      </c>
      <c r="H54" s="55">
        <v>1.6</v>
      </c>
      <c r="I54" s="55">
        <v>1.8</v>
      </c>
    </row>
    <row r="55" spans="1:9" ht="15.75">
      <c r="A55" s="59" t="s">
        <v>346</v>
      </c>
      <c r="B55" s="53" t="s">
        <v>216</v>
      </c>
      <c r="C55" s="55">
        <v>0</v>
      </c>
      <c r="D55" s="55">
        <v>0</v>
      </c>
      <c r="E55" s="55">
        <v>1</v>
      </c>
      <c r="F55" s="55">
        <v>0</v>
      </c>
      <c r="G55" s="55">
        <v>0</v>
      </c>
      <c r="H55" s="55">
        <v>1</v>
      </c>
      <c r="I55" s="55">
        <v>0</v>
      </c>
    </row>
    <row r="56" spans="1:9" ht="22.5" customHeight="1">
      <c r="A56" s="59" t="s">
        <v>347</v>
      </c>
      <c r="B56" s="53" t="s">
        <v>216</v>
      </c>
      <c r="C56" s="55">
        <v>7.4</v>
      </c>
      <c r="D56" s="55">
        <v>8.6</v>
      </c>
      <c r="E56" s="55">
        <v>8.5</v>
      </c>
      <c r="F56" s="55">
        <v>9</v>
      </c>
      <c r="G56" s="55">
        <v>9</v>
      </c>
      <c r="H56" s="55">
        <v>9.5</v>
      </c>
      <c r="I56" s="55">
        <v>10</v>
      </c>
    </row>
    <row r="57" spans="1:10" s="148" customFormat="1" ht="22.5" customHeight="1">
      <c r="A57" s="57"/>
      <c r="B57" s="57"/>
      <c r="C57" s="48"/>
      <c r="D57" s="48"/>
      <c r="E57" s="48"/>
      <c r="F57" s="48"/>
      <c r="G57" s="48"/>
      <c r="H57" s="48"/>
      <c r="I57" s="48"/>
      <c r="J57" s="48"/>
    </row>
    <row r="58" spans="1:10" s="148" customFormat="1" ht="22.5" customHeight="1" thickBot="1">
      <c r="A58" s="403" t="s">
        <v>367</v>
      </c>
      <c r="B58" s="403"/>
      <c r="C58" s="403"/>
      <c r="D58" s="403"/>
      <c r="E58" s="403"/>
      <c r="F58" s="403"/>
      <c r="G58" s="403"/>
      <c r="H58" s="403"/>
      <c r="I58" s="403"/>
      <c r="J58" s="403"/>
    </row>
    <row r="59" spans="1:10" s="148" customFormat="1" ht="63.75" customHeight="1">
      <c r="A59" s="404" t="s">
        <v>270</v>
      </c>
      <c r="B59" s="406" t="s">
        <v>271</v>
      </c>
      <c r="C59" s="407"/>
      <c r="D59" s="410" t="s">
        <v>272</v>
      </c>
      <c r="E59" s="410" t="s">
        <v>273</v>
      </c>
      <c r="F59" s="412" t="s">
        <v>274</v>
      </c>
      <c r="G59" s="413"/>
      <c r="H59" s="414"/>
      <c r="I59" s="410" t="s">
        <v>275</v>
      </c>
      <c r="J59" s="415" t="s">
        <v>108</v>
      </c>
    </row>
    <row r="60" spans="1:10" s="148" customFormat="1" ht="46.5" customHeight="1" thickBot="1">
      <c r="A60" s="445"/>
      <c r="B60" s="446"/>
      <c r="C60" s="447"/>
      <c r="D60" s="448"/>
      <c r="E60" s="448"/>
      <c r="F60" s="248" t="s">
        <v>307</v>
      </c>
      <c r="G60" s="248" t="s">
        <v>297</v>
      </c>
      <c r="H60" s="248" t="s">
        <v>298</v>
      </c>
      <c r="I60" s="448"/>
      <c r="J60" s="449"/>
    </row>
    <row r="61" spans="1:10" s="148" customFormat="1" ht="36.75" customHeight="1">
      <c r="A61" s="456" t="s">
        <v>299</v>
      </c>
      <c r="B61" s="401" t="s">
        <v>368</v>
      </c>
      <c r="C61" s="401"/>
      <c r="D61" s="29">
        <f>D62+D63+D64+D65</f>
        <v>1.2</v>
      </c>
      <c r="E61" s="152"/>
      <c r="F61" s="249">
        <f>F62+F63+F64+F65</f>
        <v>37</v>
      </c>
      <c r="G61" s="249">
        <f>G62+G63+G64+G65</f>
        <v>5.999999999999999</v>
      </c>
      <c r="H61" s="249">
        <f>H62+H63+H64+H65</f>
        <v>153</v>
      </c>
      <c r="I61" s="29">
        <f>I62+I63+I64+I65</f>
        <v>1</v>
      </c>
      <c r="J61" s="29">
        <f>J62+J63+J64+J65</f>
        <v>5</v>
      </c>
    </row>
    <row r="62" spans="1:10" s="148" customFormat="1" ht="22.5" customHeight="1">
      <c r="A62" s="454"/>
      <c r="B62" s="401">
        <v>2014</v>
      </c>
      <c r="C62" s="401">
        <v>2013</v>
      </c>
      <c r="D62" s="29">
        <v>0.5</v>
      </c>
      <c r="E62" s="154"/>
      <c r="F62" s="29">
        <v>8.5</v>
      </c>
      <c r="G62" s="29">
        <v>1.2</v>
      </c>
      <c r="H62" s="29">
        <v>33</v>
      </c>
      <c r="I62" s="29">
        <v>0.4</v>
      </c>
      <c r="J62" s="29">
        <v>3</v>
      </c>
    </row>
    <row r="63" spans="1:10" s="148" customFormat="1" ht="22.5" customHeight="1">
      <c r="A63" s="454"/>
      <c r="B63" s="401">
        <v>2015</v>
      </c>
      <c r="C63" s="401">
        <v>2014</v>
      </c>
      <c r="D63" s="29">
        <v>0.7</v>
      </c>
      <c r="E63" s="64"/>
      <c r="F63" s="29">
        <v>9</v>
      </c>
      <c r="G63" s="29">
        <v>1.4</v>
      </c>
      <c r="H63" s="29">
        <v>38</v>
      </c>
      <c r="I63" s="29">
        <v>0.2</v>
      </c>
      <c r="J63" s="29">
        <v>2</v>
      </c>
    </row>
    <row r="64" spans="1:10" s="148" customFormat="1" ht="22.5" customHeight="1">
      <c r="A64" s="454"/>
      <c r="B64" s="401">
        <v>2016</v>
      </c>
      <c r="C64" s="401">
        <v>2015</v>
      </c>
      <c r="D64" s="29">
        <v>0</v>
      </c>
      <c r="E64" s="64"/>
      <c r="F64" s="29">
        <v>9.5</v>
      </c>
      <c r="G64" s="29">
        <v>1.6</v>
      </c>
      <c r="H64" s="29">
        <v>40</v>
      </c>
      <c r="I64" s="29">
        <v>0.2</v>
      </c>
      <c r="J64" s="29">
        <v>0</v>
      </c>
    </row>
    <row r="65" spans="1:10" s="148" customFormat="1" ht="22.5" customHeight="1">
      <c r="A65" s="457"/>
      <c r="B65" s="401">
        <v>2017</v>
      </c>
      <c r="C65" s="401">
        <v>2016</v>
      </c>
      <c r="D65" s="29">
        <v>0</v>
      </c>
      <c r="E65" s="64"/>
      <c r="F65" s="29">
        <v>10</v>
      </c>
      <c r="G65" s="29">
        <v>1.8</v>
      </c>
      <c r="H65" s="29">
        <v>42</v>
      </c>
      <c r="I65" s="29">
        <v>0.2</v>
      </c>
      <c r="J65" s="29">
        <v>0</v>
      </c>
    </row>
    <row r="66" spans="1:10" s="148" customFormat="1" ht="33" customHeight="1">
      <c r="A66" s="453" t="s">
        <v>300</v>
      </c>
      <c r="B66" s="401" t="s">
        <v>368</v>
      </c>
      <c r="C66" s="401"/>
      <c r="D66" s="29">
        <f>D67+D68+D69+D70</f>
        <v>7.6</v>
      </c>
      <c r="E66" s="64"/>
      <c r="F66" s="64"/>
      <c r="G66" s="64"/>
      <c r="H66" s="64"/>
      <c r="I66" s="65">
        <f>I67+I68+I69+I70</f>
        <v>0.6000000000000001</v>
      </c>
      <c r="J66" s="156"/>
    </row>
    <row r="67" spans="1:10" s="148" customFormat="1" ht="22.5" customHeight="1">
      <c r="A67" s="454"/>
      <c r="B67" s="401">
        <v>2014</v>
      </c>
      <c r="C67" s="401">
        <v>2013</v>
      </c>
      <c r="D67" s="28"/>
      <c r="E67" s="64"/>
      <c r="F67" s="64"/>
      <c r="G67" s="64"/>
      <c r="H67" s="64"/>
      <c r="I67" s="29">
        <v>0</v>
      </c>
      <c r="J67" s="29"/>
    </row>
    <row r="68" spans="1:10" s="148" customFormat="1" ht="22.5" customHeight="1">
      <c r="A68" s="454"/>
      <c r="B68" s="401">
        <v>2015</v>
      </c>
      <c r="C68" s="401">
        <v>2014</v>
      </c>
      <c r="D68" s="29">
        <v>7.6</v>
      </c>
      <c r="E68" s="64"/>
      <c r="F68" s="64"/>
      <c r="G68" s="64"/>
      <c r="H68" s="64"/>
      <c r="I68" s="29">
        <v>0.2</v>
      </c>
      <c r="J68" s="29"/>
    </row>
    <row r="69" spans="1:10" s="148" customFormat="1" ht="22.5" customHeight="1">
      <c r="A69" s="454"/>
      <c r="B69" s="401">
        <v>2016</v>
      </c>
      <c r="C69" s="401">
        <v>2015</v>
      </c>
      <c r="D69" s="28"/>
      <c r="E69" s="64"/>
      <c r="F69" s="64"/>
      <c r="G69" s="64"/>
      <c r="H69" s="64"/>
      <c r="I69" s="29">
        <v>0.2</v>
      </c>
      <c r="J69" s="29"/>
    </row>
    <row r="70" spans="1:10" s="148" customFormat="1" ht="22.5" customHeight="1">
      <c r="A70" s="457"/>
      <c r="B70" s="401">
        <v>2017</v>
      </c>
      <c r="C70" s="401">
        <v>2016</v>
      </c>
      <c r="D70" s="28"/>
      <c r="E70" s="64"/>
      <c r="F70" s="64"/>
      <c r="G70" s="64"/>
      <c r="H70" s="64"/>
      <c r="I70" s="29">
        <v>0.2</v>
      </c>
      <c r="J70" s="29"/>
    </row>
    <row r="71" spans="1:10" s="148" customFormat="1" ht="22.5" customHeight="1" thickBot="1">
      <c r="A71" s="171" t="s">
        <v>301</v>
      </c>
      <c r="B71" s="461"/>
      <c r="C71" s="462"/>
      <c r="D71" s="172"/>
      <c r="E71" s="172"/>
      <c r="F71" s="172"/>
      <c r="G71" s="172"/>
      <c r="H71" s="172"/>
      <c r="I71" s="172"/>
      <c r="J71" s="173"/>
    </row>
    <row r="72" spans="1:10" s="148" customFormat="1" ht="22.5" customHeight="1">
      <c r="A72" s="57"/>
      <c r="B72" s="57"/>
      <c r="C72" s="48"/>
      <c r="D72" s="48"/>
      <c r="E72" s="48"/>
      <c r="F72" s="48"/>
      <c r="G72" s="48"/>
      <c r="H72" s="48"/>
      <c r="I72" s="48"/>
      <c r="J72" s="48"/>
    </row>
    <row r="73" spans="1:10" s="148" customFormat="1" ht="22.5" customHeight="1">
      <c r="A73" s="50" t="s">
        <v>279</v>
      </c>
      <c r="B73" s="452" t="s">
        <v>302</v>
      </c>
      <c r="C73" s="452"/>
      <c r="D73" s="452"/>
      <c r="E73" s="452"/>
      <c r="F73" s="452"/>
      <c r="G73" s="452"/>
      <c r="H73" s="452"/>
      <c r="I73" s="452"/>
      <c r="J73" s="452"/>
    </row>
    <row r="74" spans="1:10" s="148" customFormat="1" ht="22.5" customHeight="1">
      <c r="A74" s="57"/>
      <c r="B74" s="57"/>
      <c r="C74" s="48"/>
      <c r="D74" s="48"/>
      <c r="E74" s="48"/>
      <c r="F74" s="48"/>
      <c r="G74" s="48"/>
      <c r="H74" s="48"/>
      <c r="I74" s="48"/>
      <c r="J74" s="48"/>
    </row>
    <row r="75" spans="1:10" s="148" customFormat="1" ht="22.5" customHeight="1">
      <c r="A75" s="57"/>
      <c r="B75" s="57"/>
      <c r="C75" s="48"/>
      <c r="D75" s="48"/>
      <c r="E75" s="48"/>
      <c r="F75" s="48"/>
      <c r="G75" s="48"/>
      <c r="H75" s="48"/>
      <c r="I75" s="48"/>
      <c r="J75" s="48"/>
    </row>
    <row r="76" spans="1:10" ht="27" customHeight="1">
      <c r="A76" s="50"/>
      <c r="B76" s="452"/>
      <c r="C76" s="452"/>
      <c r="D76" s="452"/>
      <c r="E76" s="452"/>
      <c r="F76" s="452"/>
      <c r="G76" s="452"/>
      <c r="H76" s="452"/>
      <c r="I76" s="452"/>
      <c r="J76" s="452"/>
    </row>
    <row r="77" spans="1:2" ht="7.5" customHeight="1">
      <c r="A77" s="51"/>
      <c r="B77" s="51"/>
    </row>
    <row r="78" spans="1:2" ht="12.75">
      <c r="A78" s="51"/>
      <c r="B78" s="51"/>
    </row>
    <row r="79" spans="1:2" ht="12.75">
      <c r="A79" s="51"/>
      <c r="B79" s="51"/>
    </row>
    <row r="80" spans="1:2" ht="12.75">
      <c r="A80" s="51"/>
      <c r="B80" s="51"/>
    </row>
    <row r="81" spans="1:2" ht="12.75">
      <c r="A81" s="51"/>
      <c r="B81" s="51"/>
    </row>
    <row r="82" spans="1:2" ht="12.75">
      <c r="A82" s="51"/>
      <c r="B82" s="51"/>
    </row>
    <row r="83" spans="1:2" ht="12.75">
      <c r="A83" s="51"/>
      <c r="B83" s="51"/>
    </row>
    <row r="84" spans="1:2" ht="12.75">
      <c r="A84" s="51"/>
      <c r="B84" s="51"/>
    </row>
    <row r="85" spans="1:2" ht="12.75">
      <c r="A85" s="51"/>
      <c r="B85" s="51"/>
    </row>
    <row r="86" spans="1:2" ht="12.75">
      <c r="A86" s="51"/>
      <c r="B86" s="51"/>
    </row>
    <row r="87" spans="1:2" ht="12.75">
      <c r="A87" s="51"/>
      <c r="B87" s="51"/>
    </row>
    <row r="88" spans="1:2" ht="12.75">
      <c r="A88" s="51"/>
      <c r="B88" s="51"/>
    </row>
    <row r="89" spans="1:2" ht="12.75">
      <c r="A89" s="51"/>
      <c r="B89" s="51"/>
    </row>
    <row r="90" spans="1:2" ht="12.75">
      <c r="A90" s="51"/>
      <c r="B90" s="51"/>
    </row>
    <row r="91" spans="1:2" ht="12.75">
      <c r="A91" s="51"/>
      <c r="B91" s="51"/>
    </row>
    <row r="92" spans="1:2" ht="12.75">
      <c r="A92" s="51"/>
      <c r="B92" s="51"/>
    </row>
    <row r="93" spans="1:2" ht="12.75">
      <c r="A93" s="51"/>
      <c r="B93" s="51"/>
    </row>
    <row r="94" spans="1:2" ht="12.75">
      <c r="A94" s="51"/>
      <c r="B94" s="51"/>
    </row>
    <row r="95" spans="1:2" ht="12.75">
      <c r="A95" s="51"/>
      <c r="B95" s="51"/>
    </row>
    <row r="96" spans="1:2" ht="12.75">
      <c r="A96" s="51"/>
      <c r="B96" s="51"/>
    </row>
    <row r="97" spans="1:2" ht="12.75">
      <c r="A97" s="51"/>
      <c r="B97" s="51"/>
    </row>
    <row r="98" spans="1:2" ht="12.75">
      <c r="A98" s="51"/>
      <c r="B98" s="51"/>
    </row>
    <row r="99" spans="1:2" ht="12.75">
      <c r="A99" s="51"/>
      <c r="B99" s="51"/>
    </row>
    <row r="100" spans="1:2" ht="12.75">
      <c r="A100" s="51"/>
      <c r="B100" s="51"/>
    </row>
    <row r="101" spans="1:2" ht="12.75">
      <c r="A101" s="51"/>
      <c r="B101" s="51"/>
    </row>
    <row r="102" spans="1:2" ht="12.75">
      <c r="A102" s="51"/>
      <c r="B102" s="51"/>
    </row>
    <row r="103" spans="1:2" ht="12.75">
      <c r="A103" s="51"/>
      <c r="B103" s="51"/>
    </row>
    <row r="104" spans="1:2" ht="12.75">
      <c r="A104" s="51"/>
      <c r="B104" s="51"/>
    </row>
    <row r="105" spans="1:2" ht="12.75">
      <c r="A105" s="51"/>
      <c r="B105" s="51"/>
    </row>
    <row r="106" spans="1:2" ht="12.75">
      <c r="A106" s="51"/>
      <c r="B106" s="51"/>
    </row>
    <row r="107" spans="1:2" ht="12.75">
      <c r="A107" s="51"/>
      <c r="B107" s="51"/>
    </row>
    <row r="108" spans="1:2" ht="12.75">
      <c r="A108" s="51"/>
      <c r="B108" s="51"/>
    </row>
    <row r="109" spans="1:2" ht="12.75">
      <c r="A109" s="51"/>
      <c r="B109" s="51"/>
    </row>
    <row r="110" spans="1:2" ht="12.75">
      <c r="A110" s="51"/>
      <c r="B110" s="51"/>
    </row>
    <row r="111" spans="1:2" ht="12.75">
      <c r="A111" s="51"/>
      <c r="B111" s="51"/>
    </row>
    <row r="112" spans="1:2" ht="12.75">
      <c r="A112" s="51"/>
      <c r="B112" s="51"/>
    </row>
    <row r="113" spans="1:2" ht="12.75">
      <c r="A113" s="51"/>
      <c r="B113" s="51"/>
    </row>
    <row r="114" spans="1:2" ht="12.75">
      <c r="A114" s="51"/>
      <c r="B114" s="51"/>
    </row>
    <row r="115" spans="1:2" ht="12.75">
      <c r="A115" s="51"/>
      <c r="B115" s="51"/>
    </row>
    <row r="116" spans="1:2" ht="12.75">
      <c r="A116" s="51"/>
      <c r="B116" s="51"/>
    </row>
    <row r="117" spans="1:2" ht="12.75">
      <c r="A117" s="51"/>
      <c r="B117" s="51"/>
    </row>
    <row r="118" spans="1:2" ht="12.75">
      <c r="A118" s="51"/>
      <c r="B118" s="51"/>
    </row>
    <row r="119" spans="1:2" ht="12.75">
      <c r="A119" s="51"/>
      <c r="B119" s="51"/>
    </row>
    <row r="120" spans="1:2" ht="12.75">
      <c r="A120" s="51"/>
      <c r="B120" s="51"/>
    </row>
    <row r="121" spans="1:2" ht="12.75">
      <c r="A121" s="51"/>
      <c r="B121" s="51"/>
    </row>
    <row r="122" spans="1:2" ht="12.75">
      <c r="A122" s="51"/>
      <c r="B122" s="51"/>
    </row>
    <row r="123" spans="1:2" ht="12.75">
      <c r="A123" s="51"/>
      <c r="B123" s="51"/>
    </row>
    <row r="124" spans="1:2" ht="12.75">
      <c r="A124" s="51"/>
      <c r="B124" s="51"/>
    </row>
    <row r="125" spans="1:2" ht="12.75">
      <c r="A125" s="51"/>
      <c r="B125" s="51"/>
    </row>
    <row r="126" spans="1:2" ht="12.75">
      <c r="A126" s="51"/>
      <c r="B126" s="51"/>
    </row>
    <row r="127" spans="1:2" ht="12.75">
      <c r="A127" s="51"/>
      <c r="B127" s="51"/>
    </row>
    <row r="128" spans="1:2" ht="12.75">
      <c r="A128" s="51"/>
      <c r="B128" s="51"/>
    </row>
    <row r="129" spans="1:2" ht="12.75">
      <c r="A129" s="51"/>
      <c r="B129" s="51"/>
    </row>
    <row r="130" spans="1:2" ht="12.75">
      <c r="A130" s="51"/>
      <c r="B130" s="51"/>
    </row>
    <row r="131" spans="1:2" ht="12.75">
      <c r="A131" s="51"/>
      <c r="B131" s="51"/>
    </row>
    <row r="132" spans="1:2" ht="12.75">
      <c r="A132" s="51"/>
      <c r="B132" s="51"/>
    </row>
    <row r="133" spans="1:2" ht="12.75">
      <c r="A133" s="51"/>
      <c r="B133" s="51"/>
    </row>
    <row r="134" spans="1:2" ht="12.75">
      <c r="A134" s="51"/>
      <c r="B134" s="51"/>
    </row>
    <row r="135" spans="1:2" ht="12.75">
      <c r="A135" s="51"/>
      <c r="B135" s="51"/>
    </row>
    <row r="136" spans="1:2" ht="12.75">
      <c r="A136" s="51"/>
      <c r="B136" s="51"/>
    </row>
    <row r="137" spans="1:2" ht="12.75">
      <c r="A137" s="51"/>
      <c r="B137" s="51"/>
    </row>
    <row r="138" spans="1:2" ht="12.75">
      <c r="A138" s="51"/>
      <c r="B138" s="51"/>
    </row>
    <row r="139" spans="1:2" ht="12.75">
      <c r="A139" s="51"/>
      <c r="B139" s="51"/>
    </row>
    <row r="140" spans="1:2" ht="12.75">
      <c r="A140" s="51"/>
      <c r="B140" s="51"/>
    </row>
    <row r="141" spans="1:2" ht="12.75">
      <c r="A141" s="51"/>
      <c r="B141" s="51"/>
    </row>
    <row r="142" spans="1:2" ht="12.75">
      <c r="A142" s="51"/>
      <c r="B142" s="51"/>
    </row>
    <row r="143" spans="1:2" ht="12.75">
      <c r="A143" s="51"/>
      <c r="B143" s="51"/>
    </row>
    <row r="144" spans="1:2" ht="12.75">
      <c r="A144" s="51"/>
      <c r="B144" s="51"/>
    </row>
    <row r="145" spans="1:2" ht="12.75">
      <c r="A145" s="51"/>
      <c r="B145" s="51"/>
    </row>
    <row r="146" spans="1:2" ht="12.75">
      <c r="A146" s="51"/>
      <c r="B146" s="51"/>
    </row>
    <row r="147" spans="1:2" ht="12.75">
      <c r="A147" s="51"/>
      <c r="B147" s="51"/>
    </row>
    <row r="148" spans="1:2" ht="12.75">
      <c r="A148" s="51"/>
      <c r="B148" s="51"/>
    </row>
    <row r="149" spans="1:2" ht="12.75">
      <c r="A149" s="51"/>
      <c r="B149" s="51"/>
    </row>
    <row r="150" spans="1:2" ht="12.75">
      <c r="A150" s="51"/>
      <c r="B150" s="51"/>
    </row>
    <row r="151" spans="1:2" ht="12.75">
      <c r="A151" s="51"/>
      <c r="B151" s="51"/>
    </row>
    <row r="152" spans="1:2" ht="12.75">
      <c r="A152" s="51"/>
      <c r="B152" s="51"/>
    </row>
    <row r="153" spans="1:2" ht="12.75">
      <c r="A153" s="51"/>
      <c r="B153" s="51"/>
    </row>
    <row r="154" spans="1:2" ht="12.75">
      <c r="A154" s="51"/>
      <c r="B154" s="51"/>
    </row>
    <row r="155" spans="1:2" ht="12.75">
      <c r="A155" s="51"/>
      <c r="B155" s="51"/>
    </row>
    <row r="156" spans="1:2" ht="12.75">
      <c r="A156" s="51"/>
      <c r="B156" s="51"/>
    </row>
    <row r="157" spans="1:2" ht="12.75">
      <c r="A157" s="51"/>
      <c r="B157" s="51"/>
    </row>
    <row r="158" spans="1:2" ht="12.75">
      <c r="A158" s="51"/>
      <c r="B158" s="51"/>
    </row>
    <row r="159" spans="1:2" ht="12.75">
      <c r="A159" s="51"/>
      <c r="B159" s="51"/>
    </row>
    <row r="160" spans="1:2" ht="12.75">
      <c r="A160" s="51"/>
      <c r="B160" s="51"/>
    </row>
    <row r="161" spans="1:2" ht="12.75">
      <c r="A161" s="51"/>
      <c r="B161" s="51"/>
    </row>
    <row r="162" spans="1:2" ht="12.75">
      <c r="A162" s="51"/>
      <c r="B162" s="51"/>
    </row>
    <row r="163" spans="1:2" ht="12.75">
      <c r="A163" s="51"/>
      <c r="B163" s="51"/>
    </row>
    <row r="164" spans="1:2" ht="12.75">
      <c r="A164" s="51"/>
      <c r="B164" s="51"/>
    </row>
    <row r="165" spans="1:2" ht="12.75">
      <c r="A165" s="51"/>
      <c r="B165" s="51"/>
    </row>
    <row r="166" spans="1:2" ht="12.75">
      <c r="A166" s="51"/>
      <c r="B166" s="51"/>
    </row>
    <row r="167" spans="1:2" ht="12.75">
      <c r="A167" s="51"/>
      <c r="B167" s="51"/>
    </row>
    <row r="168" spans="1:2" ht="12.75">
      <c r="A168" s="51"/>
      <c r="B168" s="51"/>
    </row>
    <row r="169" spans="1:2" ht="12.75">
      <c r="A169" s="51"/>
      <c r="B169" s="51"/>
    </row>
    <row r="170" spans="1:2" ht="12.75">
      <c r="A170" s="51"/>
      <c r="B170" s="51"/>
    </row>
    <row r="171" spans="1:2" ht="12.75">
      <c r="A171" s="51"/>
      <c r="B171" s="51"/>
    </row>
    <row r="172" spans="1:2" ht="12.75">
      <c r="A172" s="51"/>
      <c r="B172" s="51"/>
    </row>
    <row r="173" spans="1:2" ht="12.75">
      <c r="A173" s="51"/>
      <c r="B173" s="51"/>
    </row>
    <row r="174" spans="1:2" ht="12.75">
      <c r="A174" s="51"/>
      <c r="B174" s="51"/>
    </row>
    <row r="175" spans="1:2" ht="12.75">
      <c r="A175" s="51"/>
      <c r="B175" s="51"/>
    </row>
    <row r="176" spans="1:2" ht="12.75">
      <c r="A176" s="51"/>
      <c r="B176" s="51"/>
    </row>
    <row r="177" spans="1:2" ht="12.75">
      <c r="A177" s="51"/>
      <c r="B177" s="51"/>
    </row>
    <row r="178" spans="1:2" ht="12.75">
      <c r="A178" s="51"/>
      <c r="B178" s="51"/>
    </row>
    <row r="179" spans="1:2" ht="12.75">
      <c r="A179" s="51"/>
      <c r="B179" s="51"/>
    </row>
    <row r="180" spans="1:2" ht="12.75">
      <c r="A180" s="51"/>
      <c r="B180" s="51"/>
    </row>
    <row r="181" spans="1:2" ht="12.75">
      <c r="A181" s="51"/>
      <c r="B181" s="51"/>
    </row>
    <row r="182" spans="1:2" ht="12.75">
      <c r="A182" s="51"/>
      <c r="B182" s="51"/>
    </row>
    <row r="183" spans="1:2" ht="12.75">
      <c r="A183" s="51"/>
      <c r="B183" s="51"/>
    </row>
    <row r="184" spans="1:2" ht="12.75">
      <c r="A184" s="51"/>
      <c r="B184" s="51"/>
    </row>
    <row r="185" spans="1:2" ht="12.75">
      <c r="A185" s="51"/>
      <c r="B185" s="51"/>
    </row>
    <row r="186" spans="1:2" ht="12.75">
      <c r="A186" s="51"/>
      <c r="B186" s="51"/>
    </row>
    <row r="187" spans="1:2" ht="12.75">
      <c r="A187" s="51"/>
      <c r="B187" s="51"/>
    </row>
    <row r="188" spans="1:2" ht="12.75">
      <c r="A188" s="51"/>
      <c r="B188" s="51"/>
    </row>
    <row r="189" spans="1:2" ht="12.75">
      <c r="A189" s="51"/>
      <c r="B189" s="51"/>
    </row>
    <row r="190" spans="1:2" ht="12.75">
      <c r="A190" s="51"/>
      <c r="B190" s="51"/>
    </row>
    <row r="191" spans="1:2" ht="12.75">
      <c r="A191" s="51"/>
      <c r="B191" s="51"/>
    </row>
    <row r="192" spans="1:2" ht="12.75">
      <c r="A192" s="51"/>
      <c r="B192" s="51"/>
    </row>
    <row r="193" spans="1:2" ht="12.75">
      <c r="A193" s="51"/>
      <c r="B193" s="51"/>
    </row>
    <row r="194" spans="1:2" ht="12.75">
      <c r="A194" s="51"/>
      <c r="B194" s="51"/>
    </row>
    <row r="195" spans="1:2" ht="12.75">
      <c r="A195" s="51"/>
      <c r="B195" s="51"/>
    </row>
    <row r="196" spans="1:2" ht="12.75">
      <c r="A196" s="51"/>
      <c r="B196" s="51"/>
    </row>
    <row r="197" spans="1:2" ht="12.75">
      <c r="A197" s="51"/>
      <c r="B197" s="51"/>
    </row>
    <row r="198" spans="1:2" ht="12.75">
      <c r="A198" s="51"/>
      <c r="B198" s="51"/>
    </row>
    <row r="199" spans="1:2" ht="12.75">
      <c r="A199" s="51"/>
      <c r="B199" s="51"/>
    </row>
    <row r="200" spans="1:2" ht="12.75">
      <c r="A200" s="51"/>
      <c r="B200" s="51"/>
    </row>
    <row r="201" spans="1:2" ht="12.75">
      <c r="A201" s="51"/>
      <c r="B201" s="51"/>
    </row>
    <row r="202" spans="1:2" ht="12.75">
      <c r="A202" s="51"/>
      <c r="B202" s="51"/>
    </row>
    <row r="203" spans="1:2" ht="12.75">
      <c r="A203" s="51"/>
      <c r="B203" s="51"/>
    </row>
    <row r="204" spans="1:2" ht="12.75">
      <c r="A204" s="51"/>
      <c r="B204" s="51"/>
    </row>
    <row r="205" spans="1:2" ht="12.75">
      <c r="A205" s="51"/>
      <c r="B205" s="51"/>
    </row>
    <row r="206" spans="1:2" ht="12.75">
      <c r="A206" s="51"/>
      <c r="B206" s="51"/>
    </row>
    <row r="207" spans="1:2" ht="12.75">
      <c r="A207" s="51"/>
      <c r="B207" s="51"/>
    </row>
    <row r="208" spans="1:2" ht="12.75">
      <c r="A208" s="51"/>
      <c r="B208" s="51"/>
    </row>
    <row r="209" spans="1:2" ht="12.75">
      <c r="A209" s="51"/>
      <c r="B209" s="51"/>
    </row>
    <row r="210" spans="1:2" ht="12.75">
      <c r="A210" s="51"/>
      <c r="B210" s="51"/>
    </row>
    <row r="211" spans="1:2" ht="12.75">
      <c r="A211" s="51"/>
      <c r="B211" s="51"/>
    </row>
    <row r="212" spans="1:2" ht="12.75">
      <c r="A212" s="51"/>
      <c r="B212" s="51"/>
    </row>
    <row r="213" spans="1:2" ht="12.75">
      <c r="A213" s="51"/>
      <c r="B213" s="51"/>
    </row>
    <row r="214" spans="1:2" ht="12.75">
      <c r="A214" s="51"/>
      <c r="B214" s="51"/>
    </row>
    <row r="215" spans="1:2" ht="12.75">
      <c r="A215" s="51"/>
      <c r="B215" s="51"/>
    </row>
    <row r="216" spans="1:2" ht="12.75">
      <c r="A216" s="51"/>
      <c r="B216" s="51"/>
    </row>
    <row r="217" spans="1:2" ht="12.75">
      <c r="A217" s="51"/>
      <c r="B217" s="51"/>
    </row>
    <row r="218" spans="1:2" ht="12.75">
      <c r="A218" s="51"/>
      <c r="B218" s="51"/>
    </row>
    <row r="219" spans="1:2" ht="12.75">
      <c r="A219" s="51"/>
      <c r="B219" s="51"/>
    </row>
    <row r="220" spans="1:2" ht="12.75">
      <c r="A220" s="51"/>
      <c r="B220" s="51"/>
    </row>
    <row r="221" spans="1:2" ht="12.75">
      <c r="A221" s="51"/>
      <c r="B221" s="51"/>
    </row>
    <row r="222" spans="1:2" ht="12.75">
      <c r="A222" s="51"/>
      <c r="B222" s="51"/>
    </row>
    <row r="223" spans="1:2" ht="12.75">
      <c r="A223" s="51"/>
      <c r="B223" s="51"/>
    </row>
    <row r="224" spans="1:2" ht="12.75">
      <c r="A224" s="51"/>
      <c r="B224" s="51"/>
    </row>
    <row r="225" spans="1:2" ht="12.75">
      <c r="A225" s="51"/>
      <c r="B225" s="51"/>
    </row>
    <row r="226" spans="1:2" ht="12.75">
      <c r="A226" s="51"/>
      <c r="B226" s="51"/>
    </row>
    <row r="227" spans="1:2" ht="12.75">
      <c r="A227" s="51"/>
      <c r="B227" s="51"/>
    </row>
    <row r="228" spans="1:2" ht="12.75">
      <c r="A228" s="51"/>
      <c r="B228" s="51"/>
    </row>
    <row r="229" spans="1:2" ht="12.75">
      <c r="A229" s="51"/>
      <c r="B229" s="51"/>
    </row>
    <row r="230" spans="1:2" ht="12.75">
      <c r="A230" s="51"/>
      <c r="B230" s="51"/>
    </row>
    <row r="231" spans="1:2" ht="12.75">
      <c r="A231" s="51"/>
      <c r="B231" s="51"/>
    </row>
    <row r="232" spans="1:2" ht="12.75">
      <c r="A232" s="51"/>
      <c r="B232" s="51"/>
    </row>
    <row r="233" spans="1:2" ht="12.75">
      <c r="A233" s="51"/>
      <c r="B233" s="51"/>
    </row>
    <row r="234" spans="1:2" ht="12.75">
      <c r="A234" s="51"/>
      <c r="B234" s="51"/>
    </row>
    <row r="235" spans="1:2" ht="12.75">
      <c r="A235" s="51"/>
      <c r="B235" s="51"/>
    </row>
    <row r="236" spans="1:2" ht="12.75">
      <c r="A236" s="51"/>
      <c r="B236" s="51"/>
    </row>
    <row r="237" spans="1:2" ht="12.75">
      <c r="A237" s="51"/>
      <c r="B237" s="51"/>
    </row>
    <row r="238" spans="1:2" ht="12.75">
      <c r="A238" s="51"/>
      <c r="B238" s="51"/>
    </row>
    <row r="239" spans="1:2" ht="12.75">
      <c r="A239" s="51"/>
      <c r="B239" s="51"/>
    </row>
    <row r="240" spans="1:2" ht="12.75">
      <c r="A240" s="51"/>
      <c r="B240" s="51"/>
    </row>
    <row r="241" spans="1:2" ht="12.75">
      <c r="A241" s="51"/>
      <c r="B241" s="51"/>
    </row>
    <row r="242" spans="1:2" ht="12.75">
      <c r="A242" s="51"/>
      <c r="B242" s="51"/>
    </row>
    <row r="243" spans="1:2" ht="12.75">
      <c r="A243" s="51"/>
      <c r="B243" s="51"/>
    </row>
    <row r="244" spans="1:2" ht="12.75">
      <c r="A244" s="51"/>
      <c r="B244" s="51"/>
    </row>
    <row r="245" spans="1:2" ht="12.75">
      <c r="A245" s="51"/>
      <c r="B245" s="51"/>
    </row>
    <row r="246" spans="1:2" ht="12.75">
      <c r="A246" s="51"/>
      <c r="B246" s="51"/>
    </row>
    <row r="247" spans="1:2" ht="12.75">
      <c r="A247" s="51"/>
      <c r="B247" s="51"/>
    </row>
    <row r="248" spans="1:2" ht="12.75">
      <c r="A248" s="51"/>
      <c r="B248" s="51"/>
    </row>
    <row r="249" spans="1:2" ht="12.75">
      <c r="A249" s="51"/>
      <c r="B249" s="51"/>
    </row>
    <row r="250" spans="1:2" ht="12.75">
      <c r="A250" s="51"/>
      <c r="B250" s="51"/>
    </row>
    <row r="251" spans="1:2" ht="12.75">
      <c r="A251" s="51"/>
      <c r="B251" s="51"/>
    </row>
    <row r="252" spans="1:2" ht="12.75">
      <c r="A252" s="51"/>
      <c r="B252" s="51"/>
    </row>
    <row r="253" spans="1:2" ht="12.75">
      <c r="A253" s="51"/>
      <c r="B253" s="51"/>
    </row>
    <row r="254" spans="1:2" ht="12.75">
      <c r="A254" s="51"/>
      <c r="B254" s="51"/>
    </row>
    <row r="255" spans="1:2" ht="12.75">
      <c r="A255" s="51"/>
      <c r="B255" s="51"/>
    </row>
    <row r="256" spans="1:2" ht="12.75">
      <c r="A256" s="51"/>
      <c r="B256" s="51"/>
    </row>
    <row r="257" spans="1:2" ht="12.75">
      <c r="A257" s="51"/>
      <c r="B257" s="51"/>
    </row>
    <row r="258" spans="1:2" ht="12.75">
      <c r="A258" s="51"/>
      <c r="B258" s="51"/>
    </row>
    <row r="259" spans="1:2" ht="12.75">
      <c r="A259" s="51"/>
      <c r="B259" s="51"/>
    </row>
    <row r="260" spans="1:2" ht="12.75">
      <c r="A260" s="51"/>
      <c r="B260" s="51"/>
    </row>
    <row r="261" spans="1:2" ht="12.75">
      <c r="A261" s="51"/>
      <c r="B261" s="51"/>
    </row>
    <row r="262" spans="1:2" ht="12.75">
      <c r="A262" s="51"/>
      <c r="B262" s="51"/>
    </row>
    <row r="263" spans="1:2" ht="12.75">
      <c r="A263" s="51"/>
      <c r="B263" s="51"/>
    </row>
    <row r="264" spans="1:2" ht="12.75">
      <c r="A264" s="51"/>
      <c r="B264" s="51"/>
    </row>
    <row r="265" spans="1:2" ht="12.75">
      <c r="A265" s="51"/>
      <c r="B265" s="51"/>
    </row>
    <row r="266" spans="1:2" ht="12.75">
      <c r="A266" s="51"/>
      <c r="B266" s="51"/>
    </row>
    <row r="267" spans="1:2" ht="12.75">
      <c r="A267" s="51"/>
      <c r="B267" s="51"/>
    </row>
    <row r="268" spans="1:2" ht="12.75">
      <c r="A268" s="51"/>
      <c r="B268" s="51"/>
    </row>
    <row r="269" spans="1:2" ht="12.75">
      <c r="A269" s="51"/>
      <c r="B269" s="51"/>
    </row>
    <row r="270" spans="1:2" ht="12.75">
      <c r="A270" s="51"/>
      <c r="B270" s="51"/>
    </row>
    <row r="271" spans="1:2" ht="12.75">
      <c r="A271" s="51"/>
      <c r="B271" s="51"/>
    </row>
    <row r="272" spans="1:2" ht="12.75">
      <c r="A272" s="51"/>
      <c r="B272" s="51"/>
    </row>
    <row r="273" spans="1:2" ht="12.75">
      <c r="A273" s="51"/>
      <c r="B273" s="51"/>
    </row>
    <row r="274" spans="1:2" ht="12.75">
      <c r="A274" s="51"/>
      <c r="B274" s="51"/>
    </row>
    <row r="275" spans="1:2" ht="12.75">
      <c r="A275" s="51"/>
      <c r="B275" s="51"/>
    </row>
    <row r="276" spans="1:2" ht="12.75">
      <c r="A276" s="51"/>
      <c r="B276" s="51"/>
    </row>
    <row r="277" spans="1:2" ht="12.75">
      <c r="A277" s="51"/>
      <c r="B277" s="51"/>
    </row>
  </sheetData>
  <mergeCells count="47">
    <mergeCell ref="F1:J1"/>
    <mergeCell ref="A2:J2"/>
    <mergeCell ref="A3:J3"/>
    <mergeCell ref="A4:J5"/>
    <mergeCell ref="A6:J6"/>
    <mergeCell ref="A7:H7"/>
    <mergeCell ref="A8:A10"/>
    <mergeCell ref="B8:B10"/>
    <mergeCell ref="C8:C10"/>
    <mergeCell ref="D8:D10"/>
    <mergeCell ref="E8:E10"/>
    <mergeCell ref="F8:I8"/>
    <mergeCell ref="F9:G9"/>
    <mergeCell ref="H9:H10"/>
    <mergeCell ref="I9:I10"/>
    <mergeCell ref="A49:A51"/>
    <mergeCell ref="B49:B51"/>
    <mergeCell ref="C49:C51"/>
    <mergeCell ref="D49:D51"/>
    <mergeCell ref="E49:E51"/>
    <mergeCell ref="F49:I49"/>
    <mergeCell ref="F50:G50"/>
    <mergeCell ref="H50:H51"/>
    <mergeCell ref="I50:I51"/>
    <mergeCell ref="A58:J58"/>
    <mergeCell ref="A59:A60"/>
    <mergeCell ref="B59:C60"/>
    <mergeCell ref="D59:D60"/>
    <mergeCell ref="E59:E60"/>
    <mergeCell ref="F59:H59"/>
    <mergeCell ref="I59:I60"/>
    <mergeCell ref="J59:J60"/>
    <mergeCell ref="A61:A65"/>
    <mergeCell ref="B61:C61"/>
    <mergeCell ref="B62:C62"/>
    <mergeCell ref="B63:C63"/>
    <mergeCell ref="B64:C64"/>
    <mergeCell ref="B65:C65"/>
    <mergeCell ref="B71:C71"/>
    <mergeCell ref="B73:J73"/>
    <mergeCell ref="B76:J76"/>
    <mergeCell ref="A66:A70"/>
    <mergeCell ref="B66:C66"/>
    <mergeCell ref="B67:C67"/>
    <mergeCell ref="B68:C68"/>
    <mergeCell ref="B69:C69"/>
    <mergeCell ref="B70:C70"/>
  </mergeCells>
  <printOptions/>
  <pageMargins left="0.75" right="0.75" top="1" bottom="1" header="0.5" footer="0.5"/>
  <pageSetup horizontalDpi="600" verticalDpi="600" orientation="portrait" paperSize="9" scale="41" r:id="rId1"/>
  <rowBreaks count="1" manualBreakCount="1">
    <brk id="73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J264"/>
  <sheetViews>
    <sheetView view="pageBreakPreview" zoomScale="60" workbookViewId="0" topLeftCell="A1">
      <selection activeCell="A1" sqref="A1:IV16384"/>
    </sheetView>
  </sheetViews>
  <sheetFormatPr defaultColWidth="9.00390625" defaultRowHeight="12.75"/>
  <cols>
    <col min="1" max="1" width="42.75390625" style="52" customWidth="1"/>
    <col min="2" max="2" width="11.125" style="52" customWidth="1"/>
    <col min="3" max="5" width="14.75390625" style="33" customWidth="1"/>
    <col min="6" max="6" width="15.75390625" style="33" customWidth="1"/>
    <col min="7" max="7" width="12.25390625" style="33" customWidth="1"/>
    <col min="8" max="8" width="13.375" style="33" customWidth="1"/>
    <col min="9" max="9" width="13.625" style="33" customWidth="1"/>
    <col min="10" max="10" width="14.75390625" style="33" customWidth="1"/>
    <col min="11" max="16384" width="9.125" style="33" customWidth="1"/>
  </cols>
  <sheetData>
    <row r="1" spans="1:10" ht="15.75">
      <c r="A1" s="31"/>
      <c r="B1" s="31"/>
      <c r="C1" s="32"/>
      <c r="D1" s="32"/>
      <c r="E1" s="32"/>
      <c r="F1" s="434" t="s">
        <v>239</v>
      </c>
      <c r="G1" s="434"/>
      <c r="H1" s="434"/>
      <c r="I1" s="434"/>
      <c r="J1" s="434"/>
    </row>
    <row r="2" spans="1:10" ht="24.75" customHeight="1">
      <c r="A2" s="403" t="s">
        <v>173</v>
      </c>
      <c r="B2" s="403"/>
      <c r="C2" s="403"/>
      <c r="D2" s="403"/>
      <c r="E2" s="403"/>
      <c r="F2" s="403"/>
      <c r="G2" s="403"/>
      <c r="H2" s="403"/>
      <c r="I2" s="403"/>
      <c r="J2" s="403"/>
    </row>
    <row r="3" spans="1:10" ht="14.25" customHeight="1">
      <c r="A3" s="435" t="s">
        <v>263</v>
      </c>
      <c r="B3" s="435"/>
      <c r="C3" s="435"/>
      <c r="D3" s="435"/>
      <c r="E3" s="435"/>
      <c r="F3" s="435"/>
      <c r="G3" s="435"/>
      <c r="H3" s="435"/>
      <c r="I3" s="435"/>
      <c r="J3" s="435"/>
    </row>
    <row r="4" spans="1:8" ht="14.25" customHeight="1">
      <c r="A4" s="34"/>
      <c r="B4" s="403" t="s">
        <v>219</v>
      </c>
      <c r="C4" s="403"/>
      <c r="D4" s="403"/>
      <c r="E4" s="403"/>
      <c r="F4" s="403"/>
      <c r="G4" s="403"/>
      <c r="H4" s="403"/>
    </row>
    <row r="5" spans="1:10" ht="7.5" customHeight="1">
      <c r="A5" s="436" t="s">
        <v>264</v>
      </c>
      <c r="B5" s="436"/>
      <c r="C5" s="436"/>
      <c r="D5" s="436"/>
      <c r="E5" s="436"/>
      <c r="F5" s="436"/>
      <c r="G5" s="436"/>
      <c r="H5" s="436"/>
      <c r="I5" s="436"/>
      <c r="J5" s="436"/>
    </row>
    <row r="6" spans="1:10" ht="15.75">
      <c r="A6" s="435" t="s">
        <v>174</v>
      </c>
      <c r="B6" s="435"/>
      <c r="C6" s="435"/>
      <c r="D6" s="435"/>
      <c r="E6" s="435"/>
      <c r="F6" s="435"/>
      <c r="G6" s="435"/>
      <c r="H6" s="435"/>
      <c r="I6" s="435"/>
      <c r="J6" s="435"/>
    </row>
    <row r="7" spans="1:8" ht="13.5" thickBot="1">
      <c r="A7" s="437"/>
      <c r="B7" s="437"/>
      <c r="C7" s="437"/>
      <c r="D7" s="437"/>
      <c r="E7" s="437"/>
      <c r="F7" s="437"/>
      <c r="G7" s="437"/>
      <c r="H7" s="437"/>
    </row>
    <row r="8" spans="1:9" ht="18.75" customHeight="1">
      <c r="A8" s="438" t="s">
        <v>175</v>
      </c>
      <c r="B8" s="430" t="s">
        <v>176</v>
      </c>
      <c r="C8" s="417" t="s">
        <v>265</v>
      </c>
      <c r="D8" s="417" t="s">
        <v>342</v>
      </c>
      <c r="E8" s="417" t="s">
        <v>343</v>
      </c>
      <c r="F8" s="420" t="s">
        <v>177</v>
      </c>
      <c r="G8" s="413"/>
      <c r="H8" s="413"/>
      <c r="I8" s="414"/>
    </row>
    <row r="9" spans="1:9" ht="18.75" customHeight="1">
      <c r="A9" s="439"/>
      <c r="B9" s="418"/>
      <c r="C9" s="418"/>
      <c r="D9" s="418"/>
      <c r="E9" s="418"/>
      <c r="F9" s="421">
        <v>2015</v>
      </c>
      <c r="G9" s="422"/>
      <c r="H9" s="423" t="s">
        <v>241</v>
      </c>
      <c r="I9" s="424" t="s">
        <v>330</v>
      </c>
    </row>
    <row r="10" spans="1:9" ht="16.5" customHeight="1">
      <c r="A10" s="439"/>
      <c r="B10" s="418"/>
      <c r="C10" s="419"/>
      <c r="D10" s="419"/>
      <c r="E10" s="419"/>
      <c r="F10" s="204" t="s">
        <v>79</v>
      </c>
      <c r="G10" s="229" t="s">
        <v>2</v>
      </c>
      <c r="H10" s="411"/>
      <c r="I10" s="409"/>
    </row>
    <row r="11" spans="1:9" ht="31.5" customHeight="1">
      <c r="A11" s="145" t="s">
        <v>178</v>
      </c>
      <c r="B11" s="53" t="s">
        <v>12</v>
      </c>
      <c r="C11" s="54">
        <v>81</v>
      </c>
      <c r="D11" s="54">
        <v>71</v>
      </c>
      <c r="E11" s="54">
        <v>82</v>
      </c>
      <c r="F11" s="54">
        <v>89</v>
      </c>
      <c r="G11" s="54">
        <v>89</v>
      </c>
      <c r="H11" s="54">
        <v>91</v>
      </c>
      <c r="I11" s="54">
        <v>92</v>
      </c>
    </row>
    <row r="12" spans="1:9" ht="33" customHeight="1">
      <c r="A12" s="145" t="s">
        <v>179</v>
      </c>
      <c r="B12" s="53" t="s">
        <v>12</v>
      </c>
      <c r="C12" s="54">
        <v>1</v>
      </c>
      <c r="D12" s="54">
        <v>17</v>
      </c>
      <c r="E12" s="54">
        <v>24</v>
      </c>
      <c r="F12" s="54">
        <v>31</v>
      </c>
      <c r="G12" s="54">
        <v>31</v>
      </c>
      <c r="H12" s="54">
        <v>26</v>
      </c>
      <c r="I12" s="54">
        <v>41</v>
      </c>
    </row>
    <row r="13" spans="1:9" ht="36.75" customHeight="1">
      <c r="A13" s="145" t="s">
        <v>180</v>
      </c>
      <c r="B13" s="53" t="s">
        <v>181</v>
      </c>
      <c r="C13" s="240">
        <v>725225</v>
      </c>
      <c r="D13" s="240">
        <v>739303</v>
      </c>
      <c r="E13" s="240">
        <v>724976</v>
      </c>
      <c r="F13" s="240">
        <v>705376</v>
      </c>
      <c r="G13" s="240">
        <v>705376</v>
      </c>
      <c r="H13" s="240">
        <v>738258</v>
      </c>
      <c r="I13" s="240">
        <v>766778</v>
      </c>
    </row>
    <row r="14" spans="1:9" ht="27" customHeight="1">
      <c r="A14" s="145" t="s">
        <v>182</v>
      </c>
      <c r="B14" s="53" t="s">
        <v>181</v>
      </c>
      <c r="C14" s="240">
        <v>23500</v>
      </c>
      <c r="D14" s="240">
        <v>0</v>
      </c>
      <c r="E14" s="240">
        <v>33847</v>
      </c>
      <c r="F14" s="240">
        <v>104746</v>
      </c>
      <c r="G14" s="240">
        <v>110746</v>
      </c>
      <c r="H14" s="240">
        <v>31604</v>
      </c>
      <c r="I14" s="240">
        <v>6000</v>
      </c>
    </row>
    <row r="15" spans="1:9" ht="21" customHeight="1">
      <c r="A15" s="146" t="s">
        <v>15</v>
      </c>
      <c r="B15" s="53"/>
      <c r="C15" s="55"/>
      <c r="D15" s="55"/>
      <c r="E15" s="55"/>
      <c r="F15" s="55"/>
      <c r="G15" s="55"/>
      <c r="H15" s="55"/>
      <c r="I15" s="55"/>
    </row>
    <row r="16" spans="1:9" ht="21.75" customHeight="1">
      <c r="A16" s="146" t="s">
        <v>209</v>
      </c>
      <c r="B16" s="53" t="s">
        <v>181</v>
      </c>
      <c r="C16" s="55">
        <v>23500</v>
      </c>
      <c r="D16" s="55">
        <v>0</v>
      </c>
      <c r="E16" s="55">
        <v>33847</v>
      </c>
      <c r="F16" s="55">
        <v>104746</v>
      </c>
      <c r="G16" s="55">
        <v>110746</v>
      </c>
      <c r="H16" s="55">
        <v>31604</v>
      </c>
      <c r="I16" s="55">
        <v>6000</v>
      </c>
    </row>
    <row r="17" spans="1:9" ht="21.75" customHeight="1">
      <c r="A17" s="146" t="s">
        <v>210</v>
      </c>
      <c r="B17" s="53" t="s">
        <v>181</v>
      </c>
      <c r="C17" s="55"/>
      <c r="D17" s="55"/>
      <c r="E17" s="55"/>
      <c r="F17" s="55"/>
      <c r="G17" s="55"/>
      <c r="H17" s="55"/>
      <c r="I17" s="55"/>
    </row>
    <row r="18" spans="1:9" ht="21" customHeight="1">
      <c r="A18" s="146" t="s">
        <v>211</v>
      </c>
      <c r="B18" s="53" t="s">
        <v>181</v>
      </c>
      <c r="C18" s="55"/>
      <c r="D18" s="55"/>
      <c r="E18" s="55"/>
      <c r="F18" s="55"/>
      <c r="G18" s="55"/>
      <c r="H18" s="55"/>
      <c r="I18" s="55"/>
    </row>
    <row r="19" spans="1:9" ht="23.25" customHeight="1">
      <c r="A19" s="146" t="s">
        <v>212</v>
      </c>
      <c r="B19" s="53" t="s">
        <v>181</v>
      </c>
      <c r="C19" s="55"/>
      <c r="D19" s="55"/>
      <c r="E19" s="55"/>
      <c r="F19" s="55"/>
      <c r="G19" s="55"/>
      <c r="H19" s="55"/>
      <c r="I19" s="55"/>
    </row>
    <row r="20" spans="1:9" ht="21.75" customHeight="1">
      <c r="A20" s="146" t="s">
        <v>213</v>
      </c>
      <c r="B20" s="53" t="s">
        <v>181</v>
      </c>
      <c r="C20" s="55"/>
      <c r="D20" s="55"/>
      <c r="E20" s="55"/>
      <c r="F20" s="55"/>
      <c r="G20" s="55"/>
      <c r="H20" s="55"/>
      <c r="I20" s="55"/>
    </row>
    <row r="21" spans="1:9" ht="20.25" customHeight="1">
      <c r="A21" s="146" t="s">
        <v>214</v>
      </c>
      <c r="B21" s="53" t="s">
        <v>181</v>
      </c>
      <c r="C21" s="64"/>
      <c r="D21" s="64"/>
      <c r="E21" s="64"/>
      <c r="F21" s="64"/>
      <c r="G21" s="64"/>
      <c r="H21" s="64"/>
      <c r="I21" s="64"/>
    </row>
    <row r="22" spans="1:9" ht="41.25" customHeight="1">
      <c r="A22" s="145" t="s">
        <v>183</v>
      </c>
      <c r="B22" s="53" t="s">
        <v>181</v>
      </c>
      <c r="C22" s="54">
        <v>292171</v>
      </c>
      <c r="D22" s="54">
        <v>323110</v>
      </c>
      <c r="E22" s="54">
        <v>481747</v>
      </c>
      <c r="F22" s="54">
        <v>537587</v>
      </c>
      <c r="G22" s="54">
        <v>537587</v>
      </c>
      <c r="H22" s="54">
        <v>648134</v>
      </c>
      <c r="I22" s="54">
        <v>776369</v>
      </c>
    </row>
    <row r="23" spans="1:9" ht="35.25" customHeight="1">
      <c r="A23" s="59" t="s">
        <v>184</v>
      </c>
      <c r="B23" s="53" t="s">
        <v>12</v>
      </c>
      <c r="C23" s="53">
        <v>0</v>
      </c>
      <c r="D23" s="53">
        <v>0</v>
      </c>
      <c r="E23" s="53">
        <v>0</v>
      </c>
      <c r="F23" s="53">
        <v>0</v>
      </c>
      <c r="G23" s="53">
        <v>0</v>
      </c>
      <c r="H23" s="53">
        <v>0</v>
      </c>
      <c r="I23" s="53">
        <v>0</v>
      </c>
    </row>
    <row r="24" spans="1:9" ht="36.75" customHeight="1">
      <c r="A24" s="145" t="s">
        <v>185</v>
      </c>
      <c r="B24" s="53" t="s">
        <v>181</v>
      </c>
      <c r="C24" s="54"/>
      <c r="D24" s="54"/>
      <c r="E24" s="54"/>
      <c r="F24" s="54"/>
      <c r="G24" s="54"/>
      <c r="H24" s="54"/>
      <c r="I24" s="54"/>
    </row>
    <row r="25" spans="1:9" ht="43.5" customHeight="1">
      <c r="A25" s="145" t="s">
        <v>186</v>
      </c>
      <c r="B25" s="53" t="s">
        <v>181</v>
      </c>
      <c r="C25" s="54">
        <v>340179</v>
      </c>
      <c r="D25" s="54">
        <v>345084</v>
      </c>
      <c r="E25" s="54">
        <v>410597</v>
      </c>
      <c r="F25" s="54">
        <v>469181</v>
      </c>
      <c r="G25" s="54">
        <v>469181</v>
      </c>
      <c r="H25" s="54">
        <v>567884</v>
      </c>
      <c r="I25" s="54">
        <v>640146</v>
      </c>
    </row>
    <row r="26" spans="1:9" ht="34.5" customHeight="1">
      <c r="A26" s="145" t="s">
        <v>187</v>
      </c>
      <c r="B26" s="53" t="s">
        <v>13</v>
      </c>
      <c r="C26" s="54">
        <v>1.16</v>
      </c>
      <c r="D26" s="54">
        <v>1.07</v>
      </c>
      <c r="E26" s="54">
        <v>0.85</v>
      </c>
      <c r="F26" s="54">
        <v>0.87</v>
      </c>
      <c r="G26" s="54">
        <v>0.87</v>
      </c>
      <c r="H26" s="54">
        <v>0.88</v>
      </c>
      <c r="I26" s="54">
        <v>0.82</v>
      </c>
    </row>
    <row r="27" spans="1:9" ht="30.75" customHeight="1">
      <c r="A27" s="145" t="s">
        <v>188</v>
      </c>
      <c r="B27" s="53"/>
      <c r="C27" s="54"/>
      <c r="D27" s="54"/>
      <c r="E27" s="54"/>
      <c r="F27" s="54"/>
      <c r="G27" s="54"/>
      <c r="H27" s="54"/>
      <c r="I27" s="54"/>
    </row>
    <row r="28" spans="1:9" ht="15.75">
      <c r="A28" s="59" t="s">
        <v>189</v>
      </c>
      <c r="B28" s="53" t="s">
        <v>12</v>
      </c>
      <c r="C28" s="54">
        <v>1.8</v>
      </c>
      <c r="D28" s="54">
        <v>1.5</v>
      </c>
      <c r="E28" s="54">
        <v>1.5</v>
      </c>
      <c r="F28" s="54">
        <v>1.7</v>
      </c>
      <c r="G28" s="54">
        <v>1.7</v>
      </c>
      <c r="H28" s="54">
        <v>1.9</v>
      </c>
      <c r="I28" s="54">
        <v>1.9</v>
      </c>
    </row>
    <row r="29" spans="1:9" ht="15.75">
      <c r="A29" s="59" t="s">
        <v>190</v>
      </c>
      <c r="B29" s="53" t="s">
        <v>12</v>
      </c>
      <c r="C29" s="54">
        <v>1.1</v>
      </c>
      <c r="D29" s="54">
        <v>1.1</v>
      </c>
      <c r="E29" s="54">
        <v>1.6</v>
      </c>
      <c r="F29" s="54">
        <v>1.5</v>
      </c>
      <c r="G29" s="54">
        <v>1.5</v>
      </c>
      <c r="H29" s="54">
        <v>1.6</v>
      </c>
      <c r="I29" s="54">
        <v>1.6</v>
      </c>
    </row>
    <row r="30" spans="1:9" ht="15.75">
      <c r="A30" s="59" t="s">
        <v>191</v>
      </c>
      <c r="B30" s="53" t="s">
        <v>12</v>
      </c>
      <c r="C30" s="54">
        <v>3</v>
      </c>
      <c r="D30" s="54">
        <v>4.2</v>
      </c>
      <c r="E30" s="54">
        <v>4.2</v>
      </c>
      <c r="F30" s="54">
        <v>5.6</v>
      </c>
      <c r="G30" s="54">
        <v>5.6</v>
      </c>
      <c r="H30" s="54">
        <v>6.2</v>
      </c>
      <c r="I30" s="54">
        <v>5.8</v>
      </c>
    </row>
    <row r="31" spans="1:9" ht="15.75">
      <c r="A31" s="59" t="s">
        <v>192</v>
      </c>
      <c r="B31" s="53" t="s">
        <v>12</v>
      </c>
      <c r="C31" s="54">
        <v>1</v>
      </c>
      <c r="D31" s="54">
        <v>1.2</v>
      </c>
      <c r="E31" s="54">
        <v>1.3</v>
      </c>
      <c r="F31" s="54">
        <v>1.5</v>
      </c>
      <c r="G31" s="54">
        <v>1.5</v>
      </c>
      <c r="H31" s="54">
        <v>1.6</v>
      </c>
      <c r="I31" s="54">
        <v>1.7</v>
      </c>
    </row>
    <row r="32" spans="1:9" ht="34.5" customHeight="1">
      <c r="A32" s="145" t="s">
        <v>193</v>
      </c>
      <c r="B32" s="53"/>
      <c r="C32" s="54"/>
      <c r="D32" s="54"/>
      <c r="E32" s="54"/>
      <c r="F32" s="54"/>
      <c r="G32" s="54"/>
      <c r="H32" s="54"/>
      <c r="I32" s="54"/>
    </row>
    <row r="33" spans="1:9" ht="15.75">
      <c r="A33" s="147" t="s">
        <v>194</v>
      </c>
      <c r="B33" s="53" t="s">
        <v>181</v>
      </c>
      <c r="C33" s="54">
        <v>24367</v>
      </c>
      <c r="D33" s="54">
        <v>25857</v>
      </c>
      <c r="E33" s="54">
        <v>53867</v>
      </c>
      <c r="F33" s="54">
        <v>35810</v>
      </c>
      <c r="G33" s="54">
        <v>35810</v>
      </c>
      <c r="H33" s="54">
        <v>60953</v>
      </c>
      <c r="I33" s="54">
        <v>73892</v>
      </c>
    </row>
    <row r="34" spans="1:9" ht="15.75">
      <c r="A34" s="147" t="s">
        <v>195</v>
      </c>
      <c r="B34" s="53" t="s">
        <v>181</v>
      </c>
      <c r="C34" s="54">
        <v>30183</v>
      </c>
      <c r="D34" s="54">
        <v>25996</v>
      </c>
      <c r="E34" s="54">
        <v>46804</v>
      </c>
      <c r="F34" s="54">
        <v>40439</v>
      </c>
      <c r="G34" s="54">
        <v>40439</v>
      </c>
      <c r="H34" s="54">
        <v>54372</v>
      </c>
      <c r="I34" s="54">
        <v>71427</v>
      </c>
    </row>
    <row r="35" spans="1:9" ht="31.5">
      <c r="A35" s="59" t="s">
        <v>196</v>
      </c>
      <c r="B35" s="53" t="s">
        <v>181</v>
      </c>
      <c r="C35" s="54"/>
      <c r="D35" s="54"/>
      <c r="E35" s="54"/>
      <c r="F35" s="54"/>
      <c r="G35" s="54"/>
      <c r="H35" s="54"/>
      <c r="I35" s="54"/>
    </row>
    <row r="36" spans="1:9" ht="15.75">
      <c r="A36" s="147" t="s">
        <v>194</v>
      </c>
      <c r="B36" s="53" t="s">
        <v>181</v>
      </c>
      <c r="C36" s="54">
        <v>12519</v>
      </c>
      <c r="D36" s="54">
        <v>13126</v>
      </c>
      <c r="E36" s="54">
        <v>20049</v>
      </c>
      <c r="F36" s="54">
        <v>19485</v>
      </c>
      <c r="G36" s="54">
        <v>19485</v>
      </c>
      <c r="H36" s="54">
        <v>21006</v>
      </c>
      <c r="I36" s="54">
        <v>21155</v>
      </c>
    </row>
    <row r="37" spans="1:9" ht="15.75">
      <c r="A37" s="147" t="s">
        <v>195</v>
      </c>
      <c r="B37" s="53" t="s">
        <v>181</v>
      </c>
      <c r="C37" s="54">
        <v>12977</v>
      </c>
      <c r="D37" s="54">
        <v>13594</v>
      </c>
      <c r="E37" s="54">
        <v>18258</v>
      </c>
      <c r="F37" s="54">
        <v>19741</v>
      </c>
      <c r="G37" s="54">
        <v>19741</v>
      </c>
      <c r="H37" s="54">
        <v>20330</v>
      </c>
      <c r="I37" s="54">
        <v>21887</v>
      </c>
    </row>
    <row r="38" spans="1:9" ht="33" customHeight="1">
      <c r="A38" s="145" t="s">
        <v>197</v>
      </c>
      <c r="B38" s="53" t="s">
        <v>181</v>
      </c>
      <c r="C38" s="54">
        <v>-6037</v>
      </c>
      <c r="D38" s="54">
        <v>763</v>
      </c>
      <c r="E38" s="54">
        <v>7826</v>
      </c>
      <c r="F38" s="54">
        <v>3196</v>
      </c>
      <c r="G38" s="54">
        <v>3196</v>
      </c>
      <c r="H38" s="54">
        <v>9778</v>
      </c>
      <c r="I38" s="54">
        <v>12243</v>
      </c>
    </row>
    <row r="39" spans="1:9" ht="15.75">
      <c r="A39" s="59" t="s">
        <v>198</v>
      </c>
      <c r="B39" s="53"/>
      <c r="C39" s="54"/>
      <c r="D39" s="54"/>
      <c r="E39" s="54"/>
      <c r="F39" s="54"/>
      <c r="G39" s="54"/>
      <c r="H39" s="54"/>
      <c r="I39" s="54"/>
    </row>
    <row r="40" spans="1:9" ht="15.75">
      <c r="A40" s="147" t="s">
        <v>199</v>
      </c>
      <c r="B40" s="53" t="s">
        <v>181</v>
      </c>
      <c r="C40" s="54">
        <v>-6971</v>
      </c>
      <c r="D40" s="54">
        <v>292</v>
      </c>
      <c r="E40" s="54">
        <v>5564</v>
      </c>
      <c r="F40" s="54">
        <v>1191</v>
      </c>
      <c r="G40" s="54">
        <v>1191</v>
      </c>
      <c r="H40" s="54">
        <v>7096</v>
      </c>
      <c r="I40" s="54">
        <v>10294</v>
      </c>
    </row>
    <row r="41" spans="1:9" ht="15.75">
      <c r="A41" s="147" t="s">
        <v>200</v>
      </c>
      <c r="B41" s="53" t="s">
        <v>181</v>
      </c>
      <c r="C41" s="54">
        <v>973</v>
      </c>
      <c r="D41" s="54">
        <v>568</v>
      </c>
      <c r="E41" s="54">
        <v>2229</v>
      </c>
      <c r="F41" s="54">
        <v>1973</v>
      </c>
      <c r="G41" s="54">
        <v>1973</v>
      </c>
      <c r="H41" s="54">
        <v>2649</v>
      </c>
      <c r="I41" s="54">
        <v>1916</v>
      </c>
    </row>
    <row r="42" spans="1:9" ht="28.5" customHeight="1">
      <c r="A42" s="147" t="s">
        <v>201</v>
      </c>
      <c r="B42" s="53" t="s">
        <v>181</v>
      </c>
      <c r="C42" s="54">
        <v>-38</v>
      </c>
      <c r="D42" s="54">
        <v>-98</v>
      </c>
      <c r="E42" s="54">
        <v>32</v>
      </c>
      <c r="F42" s="54">
        <v>32</v>
      </c>
      <c r="G42" s="54">
        <v>32</v>
      </c>
      <c r="H42" s="54">
        <v>32</v>
      </c>
      <c r="I42" s="54">
        <v>33</v>
      </c>
    </row>
    <row r="43" spans="1:9" ht="32.25" customHeight="1">
      <c r="A43" s="145" t="s">
        <v>202</v>
      </c>
      <c r="B43" s="53" t="s">
        <v>203</v>
      </c>
      <c r="C43" s="240">
        <v>114</v>
      </c>
      <c r="D43" s="240">
        <v>122</v>
      </c>
      <c r="E43" s="240">
        <v>136</v>
      </c>
      <c r="F43" s="240">
        <v>148</v>
      </c>
      <c r="G43" s="240">
        <v>148</v>
      </c>
      <c r="H43" s="240">
        <v>170</v>
      </c>
      <c r="I43" s="240">
        <v>181</v>
      </c>
    </row>
    <row r="44" spans="1:9" ht="32.25" customHeight="1">
      <c r="A44" s="145" t="s">
        <v>204</v>
      </c>
      <c r="B44" s="53" t="s">
        <v>14</v>
      </c>
      <c r="C44" s="242">
        <v>0</v>
      </c>
      <c r="D44" s="242">
        <v>0</v>
      </c>
      <c r="E44" s="242">
        <v>0</v>
      </c>
      <c r="F44" s="242">
        <v>7</v>
      </c>
      <c r="G44" s="242">
        <v>7</v>
      </c>
      <c r="H44" s="242">
        <v>30</v>
      </c>
      <c r="I44" s="242">
        <v>2</v>
      </c>
    </row>
    <row r="45" spans="1:9" ht="34.5" customHeight="1">
      <c r="A45" s="145" t="s">
        <v>205</v>
      </c>
      <c r="B45" s="53" t="s">
        <v>181</v>
      </c>
      <c r="C45" s="240">
        <v>36449</v>
      </c>
      <c r="D45" s="240">
        <v>41811</v>
      </c>
      <c r="E45" s="240">
        <v>52969</v>
      </c>
      <c r="F45" s="240">
        <v>58079</v>
      </c>
      <c r="G45" s="240">
        <v>58079</v>
      </c>
      <c r="H45" s="240">
        <v>68599</v>
      </c>
      <c r="I45" s="240">
        <v>73479</v>
      </c>
    </row>
    <row r="46" spans="1:9" ht="34.5" customHeight="1" thickBot="1">
      <c r="A46" s="169" t="s">
        <v>206</v>
      </c>
      <c r="B46" s="170" t="s">
        <v>181</v>
      </c>
      <c r="C46" s="174"/>
      <c r="D46" s="174"/>
      <c r="E46" s="174"/>
      <c r="F46" s="174"/>
      <c r="G46" s="175"/>
      <c r="H46" s="174"/>
      <c r="I46" s="175"/>
    </row>
    <row r="47" spans="1:10" ht="13.5" customHeight="1">
      <c r="A47" s="47"/>
      <c r="B47" s="34"/>
      <c r="C47" s="48"/>
      <c r="D47" s="48"/>
      <c r="E47" s="48"/>
      <c r="F47" s="48"/>
      <c r="G47" s="48"/>
      <c r="H47" s="48"/>
      <c r="I47" s="48"/>
      <c r="J47" s="48"/>
    </row>
    <row r="48" spans="1:10" ht="19.5" customHeight="1" thickBot="1">
      <c r="A48" s="49"/>
      <c r="B48" s="50"/>
      <c r="C48" s="32"/>
      <c r="D48" s="32"/>
      <c r="E48" s="32"/>
      <c r="F48" s="32"/>
      <c r="G48" s="32"/>
      <c r="H48" s="32"/>
      <c r="I48" s="32"/>
      <c r="J48" s="32"/>
    </row>
    <row r="49" spans="1:9" ht="15.75" customHeight="1">
      <c r="A49" s="466" t="s">
        <v>207</v>
      </c>
      <c r="B49" s="419" t="s">
        <v>176</v>
      </c>
      <c r="C49" s="417" t="s">
        <v>265</v>
      </c>
      <c r="D49" s="417" t="s">
        <v>342</v>
      </c>
      <c r="E49" s="417" t="s">
        <v>343</v>
      </c>
      <c r="F49" s="420" t="s">
        <v>177</v>
      </c>
      <c r="G49" s="413"/>
      <c r="H49" s="413"/>
      <c r="I49" s="414"/>
    </row>
    <row r="50" spans="1:9" ht="15.75" customHeight="1">
      <c r="A50" s="451"/>
      <c r="B50" s="418"/>
      <c r="C50" s="418"/>
      <c r="D50" s="418"/>
      <c r="E50" s="418"/>
      <c r="F50" s="421">
        <v>2015</v>
      </c>
      <c r="G50" s="422"/>
      <c r="H50" s="423" t="s">
        <v>241</v>
      </c>
      <c r="I50" s="424" t="s">
        <v>330</v>
      </c>
    </row>
    <row r="51" spans="1:9" ht="18.75" customHeight="1" thickBot="1">
      <c r="A51" s="458"/>
      <c r="B51" s="459"/>
      <c r="C51" s="419"/>
      <c r="D51" s="419"/>
      <c r="E51" s="419"/>
      <c r="F51" s="204" t="s">
        <v>79</v>
      </c>
      <c r="G51" s="229" t="s">
        <v>2</v>
      </c>
      <c r="H51" s="411"/>
      <c r="I51" s="409"/>
    </row>
    <row r="52" spans="1:9" ht="32.25" thickBot="1">
      <c r="A52" s="243" t="s">
        <v>345</v>
      </c>
      <c r="B52" s="244" t="s">
        <v>234</v>
      </c>
      <c r="C52" s="203">
        <v>124</v>
      </c>
      <c r="D52" s="203">
        <v>103</v>
      </c>
      <c r="E52" s="55">
        <v>137</v>
      </c>
      <c r="F52" s="203">
        <v>160</v>
      </c>
      <c r="G52" s="203">
        <v>160</v>
      </c>
      <c r="H52" s="203">
        <v>200</v>
      </c>
      <c r="I52" s="203">
        <v>220</v>
      </c>
    </row>
    <row r="53" spans="1:10" s="148" customFormat="1" ht="22.5" customHeight="1">
      <c r="A53" s="57"/>
      <c r="B53" s="57"/>
      <c r="C53" s="48"/>
      <c r="D53" s="48"/>
      <c r="E53" s="48"/>
      <c r="F53" s="48"/>
      <c r="G53" s="48"/>
      <c r="H53" s="48"/>
      <c r="I53" s="48"/>
      <c r="J53" s="48"/>
    </row>
    <row r="54" spans="1:10" s="148" customFormat="1" ht="22.5" customHeight="1" thickBot="1">
      <c r="A54" s="403" t="s">
        <v>365</v>
      </c>
      <c r="B54" s="403"/>
      <c r="C54" s="403"/>
      <c r="D54" s="403"/>
      <c r="E54" s="403"/>
      <c r="F54" s="403"/>
      <c r="G54" s="403"/>
      <c r="H54" s="403"/>
      <c r="I54" s="403"/>
      <c r="J54" s="403"/>
    </row>
    <row r="55" spans="1:10" s="148" customFormat="1" ht="63.75" customHeight="1">
      <c r="A55" s="404" t="s">
        <v>270</v>
      </c>
      <c r="B55" s="406" t="s">
        <v>271</v>
      </c>
      <c r="C55" s="407"/>
      <c r="D55" s="410" t="s">
        <v>272</v>
      </c>
      <c r="E55" s="410" t="s">
        <v>273</v>
      </c>
      <c r="F55" s="412" t="s">
        <v>274</v>
      </c>
      <c r="G55" s="413"/>
      <c r="H55" s="414"/>
      <c r="I55" s="410" t="s">
        <v>275</v>
      </c>
      <c r="J55" s="415" t="s">
        <v>108</v>
      </c>
    </row>
    <row r="56" spans="1:10" s="148" customFormat="1" ht="113.25" customHeight="1" thickBot="1">
      <c r="A56" s="445"/>
      <c r="B56" s="446"/>
      <c r="C56" s="447"/>
      <c r="D56" s="448"/>
      <c r="E56" s="448"/>
      <c r="F56" s="151" t="s">
        <v>338</v>
      </c>
      <c r="G56" s="151" t="s">
        <v>284</v>
      </c>
      <c r="H56" s="151" t="s">
        <v>278</v>
      </c>
      <c r="I56" s="448"/>
      <c r="J56" s="449"/>
    </row>
    <row r="57" spans="1:10" s="148" customFormat="1" ht="36.75" customHeight="1">
      <c r="A57" s="442" t="s">
        <v>303</v>
      </c>
      <c r="B57" s="465" t="s">
        <v>366</v>
      </c>
      <c r="C57" s="465"/>
      <c r="D57" s="245">
        <f>D58+D59+D60+D61</f>
        <v>176.197</v>
      </c>
      <c r="E57" s="152"/>
      <c r="F57" s="152"/>
      <c r="G57" s="152"/>
      <c r="H57" s="152"/>
      <c r="I57" s="152"/>
      <c r="J57" s="153"/>
    </row>
    <row r="58" spans="1:10" s="148" customFormat="1" ht="22.5" customHeight="1">
      <c r="A58" s="443"/>
      <c r="B58" s="465">
        <v>2014</v>
      </c>
      <c r="C58" s="465">
        <v>2013</v>
      </c>
      <c r="D58" s="246">
        <v>33.847</v>
      </c>
      <c r="E58" s="154"/>
      <c r="F58" s="29">
        <v>137</v>
      </c>
      <c r="G58" s="154"/>
      <c r="H58" s="154"/>
      <c r="I58" s="154"/>
      <c r="J58" s="155"/>
    </row>
    <row r="59" spans="1:10" s="148" customFormat="1" ht="22.5" customHeight="1">
      <c r="A59" s="443"/>
      <c r="B59" s="465">
        <v>2015</v>
      </c>
      <c r="C59" s="465">
        <v>2014</v>
      </c>
      <c r="D59" s="247">
        <v>104.746</v>
      </c>
      <c r="E59" s="64"/>
      <c r="F59" s="29">
        <v>160</v>
      </c>
      <c r="G59" s="64"/>
      <c r="H59" s="64"/>
      <c r="I59" s="64"/>
      <c r="J59" s="156"/>
    </row>
    <row r="60" spans="1:10" s="148" customFormat="1" ht="22.5" customHeight="1">
      <c r="A60" s="443"/>
      <c r="B60" s="465">
        <v>2016</v>
      </c>
      <c r="C60" s="465">
        <v>2015</v>
      </c>
      <c r="D60" s="247">
        <v>31.604</v>
      </c>
      <c r="E60" s="64"/>
      <c r="F60" s="29">
        <v>200</v>
      </c>
      <c r="G60" s="64"/>
      <c r="H60" s="64"/>
      <c r="I60" s="64"/>
      <c r="J60" s="156"/>
    </row>
    <row r="61" spans="1:10" s="148" customFormat="1" ht="22.5" customHeight="1">
      <c r="A61" s="444"/>
      <c r="B61" s="465">
        <v>2017</v>
      </c>
      <c r="C61" s="465">
        <v>2016</v>
      </c>
      <c r="D61" s="247">
        <v>6</v>
      </c>
      <c r="E61" s="64"/>
      <c r="F61" s="29">
        <v>220</v>
      </c>
      <c r="G61" s="64"/>
      <c r="H61" s="64"/>
      <c r="I61" s="64"/>
      <c r="J61" s="156"/>
    </row>
    <row r="62" spans="1:10" s="148" customFormat="1" ht="22.5" customHeight="1" thickBot="1">
      <c r="A62" s="171" t="s">
        <v>301</v>
      </c>
      <c r="B62" s="461"/>
      <c r="C62" s="462"/>
      <c r="D62" s="172"/>
      <c r="E62" s="172"/>
      <c r="F62" s="172"/>
      <c r="G62" s="172"/>
      <c r="H62" s="172"/>
      <c r="I62" s="172"/>
      <c r="J62" s="173"/>
    </row>
    <row r="63" spans="1:10" ht="27" customHeight="1">
      <c r="A63" s="50" t="s">
        <v>279</v>
      </c>
      <c r="B63" s="464" t="s">
        <v>304</v>
      </c>
      <c r="C63" s="464"/>
      <c r="D63" s="464"/>
      <c r="E63" s="464"/>
      <c r="F63" s="464"/>
      <c r="G63" s="464"/>
      <c r="H63" s="464"/>
      <c r="I63" s="464"/>
      <c r="J63" s="464"/>
    </row>
    <row r="64" spans="1:2" ht="7.5" customHeight="1">
      <c r="A64" s="51"/>
      <c r="B64" s="51"/>
    </row>
    <row r="65" spans="1:2" ht="12.75">
      <c r="A65" s="51"/>
      <c r="B65" s="51"/>
    </row>
    <row r="66" spans="1:2" ht="12.75">
      <c r="A66" s="51"/>
      <c r="B66" s="51"/>
    </row>
    <row r="67" spans="1:2" ht="12.75">
      <c r="A67" s="51"/>
      <c r="B67" s="51"/>
    </row>
    <row r="68" spans="1:2" ht="12.75">
      <c r="A68" s="51"/>
      <c r="B68" s="51"/>
    </row>
    <row r="69" spans="1:2" ht="12.75">
      <c r="A69" s="51"/>
      <c r="B69" s="51"/>
    </row>
    <row r="70" spans="1:2" ht="12.75">
      <c r="A70" s="51"/>
      <c r="B70" s="51"/>
    </row>
    <row r="71" spans="1:2" ht="12.75">
      <c r="A71" s="51"/>
      <c r="B71" s="51"/>
    </row>
    <row r="72" spans="1:2" ht="12.75">
      <c r="A72" s="51"/>
      <c r="B72" s="51"/>
    </row>
    <row r="73" spans="1:2" ht="12.75">
      <c r="A73" s="51"/>
      <c r="B73" s="51"/>
    </row>
    <row r="74" spans="1:2" ht="12.75">
      <c r="A74" s="51"/>
      <c r="B74" s="51"/>
    </row>
    <row r="75" spans="1:2" ht="12.75">
      <c r="A75" s="51"/>
      <c r="B75" s="51"/>
    </row>
    <row r="76" spans="1:2" ht="12.75">
      <c r="A76" s="51"/>
      <c r="B76" s="51"/>
    </row>
    <row r="77" spans="1:2" ht="12.75">
      <c r="A77" s="51"/>
      <c r="B77" s="51"/>
    </row>
    <row r="78" spans="1:2" ht="12.75">
      <c r="A78" s="51"/>
      <c r="B78" s="51"/>
    </row>
    <row r="79" spans="1:2" ht="12.75">
      <c r="A79" s="51"/>
      <c r="B79" s="51"/>
    </row>
    <row r="80" spans="1:2" ht="12.75">
      <c r="A80" s="51"/>
      <c r="B80" s="51"/>
    </row>
    <row r="81" spans="1:2" ht="12.75">
      <c r="A81" s="51"/>
      <c r="B81" s="51"/>
    </row>
    <row r="82" spans="1:2" ht="12.75">
      <c r="A82" s="51"/>
      <c r="B82" s="51"/>
    </row>
    <row r="83" spans="1:2" ht="12.75">
      <c r="A83" s="51"/>
      <c r="B83" s="51"/>
    </row>
    <row r="84" spans="1:2" ht="12.75">
      <c r="A84" s="51"/>
      <c r="B84" s="51"/>
    </row>
    <row r="85" spans="1:2" ht="12.75">
      <c r="A85" s="51"/>
      <c r="B85" s="51"/>
    </row>
    <row r="86" spans="1:2" ht="12.75">
      <c r="A86" s="51"/>
      <c r="B86" s="51"/>
    </row>
    <row r="87" spans="1:2" ht="12.75">
      <c r="A87" s="51"/>
      <c r="B87" s="51"/>
    </row>
    <row r="88" spans="1:2" ht="12.75">
      <c r="A88" s="51"/>
      <c r="B88" s="51"/>
    </row>
    <row r="89" spans="1:2" ht="12.75">
      <c r="A89" s="51"/>
      <c r="B89" s="51"/>
    </row>
    <row r="90" spans="1:2" ht="12.75">
      <c r="A90" s="51"/>
      <c r="B90" s="51"/>
    </row>
    <row r="91" spans="1:2" ht="12.75">
      <c r="A91" s="51"/>
      <c r="B91" s="51"/>
    </row>
    <row r="92" spans="1:2" ht="12.75">
      <c r="A92" s="51"/>
      <c r="B92" s="51"/>
    </row>
    <row r="93" spans="1:2" ht="12.75">
      <c r="A93" s="51"/>
      <c r="B93" s="51"/>
    </row>
    <row r="94" spans="1:2" ht="12.75">
      <c r="A94" s="51"/>
      <c r="B94" s="51"/>
    </row>
    <row r="95" spans="1:2" ht="12.75">
      <c r="A95" s="51"/>
      <c r="B95" s="51"/>
    </row>
    <row r="96" spans="1:2" ht="12.75">
      <c r="A96" s="51"/>
      <c r="B96" s="51"/>
    </row>
    <row r="97" spans="1:2" ht="12.75">
      <c r="A97" s="51"/>
      <c r="B97" s="51"/>
    </row>
    <row r="98" spans="1:2" ht="12.75">
      <c r="A98" s="51"/>
      <c r="B98" s="51"/>
    </row>
    <row r="99" spans="1:2" ht="12.75">
      <c r="A99" s="51"/>
      <c r="B99" s="51"/>
    </row>
    <row r="100" spans="1:2" ht="12.75">
      <c r="A100" s="51"/>
      <c r="B100" s="51"/>
    </row>
    <row r="101" spans="1:2" ht="12.75">
      <c r="A101" s="51"/>
      <c r="B101" s="51"/>
    </row>
    <row r="102" spans="1:2" ht="12.75">
      <c r="A102" s="51"/>
      <c r="B102" s="51"/>
    </row>
    <row r="103" spans="1:2" ht="12.75">
      <c r="A103" s="51"/>
      <c r="B103" s="51"/>
    </row>
    <row r="104" spans="1:2" ht="12.75">
      <c r="A104" s="51"/>
      <c r="B104" s="51"/>
    </row>
    <row r="105" spans="1:2" ht="12.75">
      <c r="A105" s="51"/>
      <c r="B105" s="51"/>
    </row>
    <row r="106" spans="1:2" ht="12.75">
      <c r="A106" s="51"/>
      <c r="B106" s="51"/>
    </row>
    <row r="107" spans="1:2" ht="12.75">
      <c r="A107" s="51"/>
      <c r="B107" s="51"/>
    </row>
    <row r="108" spans="1:2" ht="12.75">
      <c r="A108" s="51"/>
      <c r="B108" s="51"/>
    </row>
    <row r="109" spans="1:2" ht="12.75">
      <c r="A109" s="51"/>
      <c r="B109" s="51"/>
    </row>
    <row r="110" spans="1:2" ht="12.75">
      <c r="A110" s="51"/>
      <c r="B110" s="51"/>
    </row>
    <row r="111" spans="1:2" ht="12.75">
      <c r="A111" s="51"/>
      <c r="B111" s="51"/>
    </row>
    <row r="112" spans="1:2" ht="12.75">
      <c r="A112" s="51"/>
      <c r="B112" s="51"/>
    </row>
    <row r="113" spans="1:2" ht="12.75">
      <c r="A113" s="51"/>
      <c r="B113" s="51"/>
    </row>
    <row r="114" spans="1:2" ht="12.75">
      <c r="A114" s="51"/>
      <c r="B114" s="51"/>
    </row>
    <row r="115" spans="1:2" ht="12.75">
      <c r="A115" s="51"/>
      <c r="B115" s="51"/>
    </row>
    <row r="116" spans="1:2" ht="12.75">
      <c r="A116" s="51"/>
      <c r="B116" s="51"/>
    </row>
    <row r="117" spans="1:2" ht="12.75">
      <c r="A117" s="51"/>
      <c r="B117" s="51"/>
    </row>
    <row r="118" spans="1:2" ht="12.75">
      <c r="A118" s="51"/>
      <c r="B118" s="51"/>
    </row>
    <row r="119" spans="1:2" ht="12.75">
      <c r="A119" s="51"/>
      <c r="B119" s="51"/>
    </row>
    <row r="120" spans="1:2" ht="12.75">
      <c r="A120" s="51"/>
      <c r="B120" s="51"/>
    </row>
    <row r="121" spans="1:2" ht="12.75">
      <c r="A121" s="51"/>
      <c r="B121" s="51"/>
    </row>
    <row r="122" spans="1:2" ht="12.75">
      <c r="A122" s="51"/>
      <c r="B122" s="51"/>
    </row>
    <row r="123" spans="1:2" ht="12.75">
      <c r="A123" s="51"/>
      <c r="B123" s="51"/>
    </row>
    <row r="124" spans="1:2" ht="12.75">
      <c r="A124" s="51"/>
      <c r="B124" s="51"/>
    </row>
    <row r="125" spans="1:2" ht="12.75">
      <c r="A125" s="51"/>
      <c r="B125" s="51"/>
    </row>
    <row r="126" spans="1:2" ht="12.75">
      <c r="A126" s="51"/>
      <c r="B126" s="51"/>
    </row>
    <row r="127" spans="1:2" ht="12.75">
      <c r="A127" s="51"/>
      <c r="B127" s="51"/>
    </row>
    <row r="128" spans="1:2" ht="12.75">
      <c r="A128" s="51"/>
      <c r="B128" s="51"/>
    </row>
    <row r="129" spans="1:2" ht="12.75">
      <c r="A129" s="51"/>
      <c r="B129" s="51"/>
    </row>
    <row r="130" spans="1:2" ht="12.75">
      <c r="A130" s="51"/>
      <c r="B130" s="51"/>
    </row>
    <row r="131" spans="1:2" ht="12.75">
      <c r="A131" s="51"/>
      <c r="B131" s="51"/>
    </row>
    <row r="132" spans="1:2" ht="12.75">
      <c r="A132" s="51"/>
      <c r="B132" s="51"/>
    </row>
    <row r="133" spans="1:2" ht="12.75">
      <c r="A133" s="51"/>
      <c r="B133" s="51"/>
    </row>
    <row r="134" spans="1:2" ht="12.75">
      <c r="A134" s="51"/>
      <c r="B134" s="51"/>
    </row>
    <row r="135" spans="1:2" ht="12.75">
      <c r="A135" s="51"/>
      <c r="B135" s="51"/>
    </row>
    <row r="136" spans="1:2" ht="12.75">
      <c r="A136" s="51"/>
      <c r="B136" s="51"/>
    </row>
    <row r="137" spans="1:2" ht="12.75">
      <c r="A137" s="51"/>
      <c r="B137" s="51"/>
    </row>
    <row r="138" spans="1:2" ht="12.75">
      <c r="A138" s="51"/>
      <c r="B138" s="51"/>
    </row>
    <row r="139" spans="1:2" ht="12.75">
      <c r="A139" s="51"/>
      <c r="B139" s="51"/>
    </row>
    <row r="140" spans="1:2" ht="12.75">
      <c r="A140" s="51"/>
      <c r="B140" s="51"/>
    </row>
    <row r="141" spans="1:2" ht="12.75">
      <c r="A141" s="51"/>
      <c r="B141" s="51"/>
    </row>
    <row r="142" spans="1:2" ht="12.75">
      <c r="A142" s="51"/>
      <c r="B142" s="51"/>
    </row>
    <row r="143" spans="1:2" ht="12.75">
      <c r="A143" s="51"/>
      <c r="B143" s="51"/>
    </row>
    <row r="144" spans="1:2" ht="12.75">
      <c r="A144" s="51"/>
      <c r="B144" s="51"/>
    </row>
    <row r="145" spans="1:2" ht="12.75">
      <c r="A145" s="51"/>
      <c r="B145" s="51"/>
    </row>
    <row r="146" spans="1:2" ht="12.75">
      <c r="A146" s="51"/>
      <c r="B146" s="51"/>
    </row>
    <row r="147" spans="1:2" ht="12.75">
      <c r="A147" s="51"/>
      <c r="B147" s="51"/>
    </row>
    <row r="148" spans="1:2" ht="12.75">
      <c r="A148" s="51"/>
      <c r="B148" s="51"/>
    </row>
    <row r="149" spans="1:2" ht="12.75">
      <c r="A149" s="51"/>
      <c r="B149" s="51"/>
    </row>
    <row r="150" spans="1:2" ht="12.75">
      <c r="A150" s="51"/>
      <c r="B150" s="51"/>
    </row>
    <row r="151" spans="1:2" ht="12.75">
      <c r="A151" s="51"/>
      <c r="B151" s="51"/>
    </row>
    <row r="152" spans="1:2" ht="12.75">
      <c r="A152" s="51"/>
      <c r="B152" s="51"/>
    </row>
    <row r="153" spans="1:2" ht="12.75">
      <c r="A153" s="51"/>
      <c r="B153" s="51"/>
    </row>
    <row r="154" spans="1:2" ht="12.75">
      <c r="A154" s="51"/>
      <c r="B154" s="51"/>
    </row>
    <row r="155" spans="1:2" ht="12.75">
      <c r="A155" s="51"/>
      <c r="B155" s="51"/>
    </row>
    <row r="156" spans="1:2" ht="12.75">
      <c r="A156" s="51"/>
      <c r="B156" s="51"/>
    </row>
    <row r="157" spans="1:2" ht="12.75">
      <c r="A157" s="51"/>
      <c r="B157" s="51"/>
    </row>
    <row r="158" spans="1:2" ht="12.75">
      <c r="A158" s="51"/>
      <c r="B158" s="51"/>
    </row>
    <row r="159" spans="1:2" ht="12.75">
      <c r="A159" s="51"/>
      <c r="B159" s="51"/>
    </row>
    <row r="160" spans="1:2" ht="12.75">
      <c r="A160" s="51"/>
      <c r="B160" s="51"/>
    </row>
    <row r="161" spans="1:2" ht="12.75">
      <c r="A161" s="51"/>
      <c r="B161" s="51"/>
    </row>
    <row r="162" spans="1:2" ht="12.75">
      <c r="A162" s="51"/>
      <c r="B162" s="51"/>
    </row>
    <row r="163" spans="1:2" ht="12.75">
      <c r="A163" s="51"/>
      <c r="B163" s="51"/>
    </row>
    <row r="164" spans="1:2" ht="12.75">
      <c r="A164" s="51"/>
      <c r="B164" s="51"/>
    </row>
    <row r="165" spans="1:2" ht="12.75">
      <c r="A165" s="51"/>
      <c r="B165" s="51"/>
    </row>
    <row r="166" spans="1:2" ht="12.75">
      <c r="A166" s="51"/>
      <c r="B166" s="51"/>
    </row>
    <row r="167" spans="1:2" ht="12.75">
      <c r="A167" s="51"/>
      <c r="B167" s="51"/>
    </row>
    <row r="168" spans="1:2" ht="12.75">
      <c r="A168" s="51"/>
      <c r="B168" s="51"/>
    </row>
    <row r="169" spans="1:2" ht="12.75">
      <c r="A169" s="51"/>
      <c r="B169" s="51"/>
    </row>
    <row r="170" spans="1:2" ht="12.75">
      <c r="A170" s="51"/>
      <c r="B170" s="51"/>
    </row>
    <row r="171" spans="1:2" ht="12.75">
      <c r="A171" s="51"/>
      <c r="B171" s="51"/>
    </row>
    <row r="172" spans="1:2" ht="12.75">
      <c r="A172" s="51"/>
      <c r="B172" s="51"/>
    </row>
    <row r="173" spans="1:2" ht="12.75">
      <c r="A173" s="51"/>
      <c r="B173" s="51"/>
    </row>
    <row r="174" spans="1:2" ht="12.75">
      <c r="A174" s="51"/>
      <c r="B174" s="51"/>
    </row>
    <row r="175" spans="1:2" ht="12.75">
      <c r="A175" s="51"/>
      <c r="B175" s="51"/>
    </row>
    <row r="176" spans="1:2" ht="12.75">
      <c r="A176" s="51"/>
      <c r="B176" s="51"/>
    </row>
    <row r="177" spans="1:2" ht="12.75">
      <c r="A177" s="51"/>
      <c r="B177" s="51"/>
    </row>
    <row r="178" spans="1:2" ht="12.75">
      <c r="A178" s="51"/>
      <c r="B178" s="51"/>
    </row>
    <row r="179" spans="1:2" ht="12.75">
      <c r="A179" s="51"/>
      <c r="B179" s="51"/>
    </row>
    <row r="180" spans="1:2" ht="12.75">
      <c r="A180" s="51"/>
      <c r="B180" s="51"/>
    </row>
    <row r="181" spans="1:2" ht="12.75">
      <c r="A181" s="51"/>
      <c r="B181" s="51"/>
    </row>
    <row r="182" spans="1:2" ht="12.75">
      <c r="A182" s="51"/>
      <c r="B182" s="51"/>
    </row>
    <row r="183" spans="1:2" ht="12.75">
      <c r="A183" s="51"/>
      <c r="B183" s="51"/>
    </row>
    <row r="184" spans="1:2" ht="12.75">
      <c r="A184" s="51"/>
      <c r="B184" s="51"/>
    </row>
    <row r="185" spans="1:2" ht="12.75">
      <c r="A185" s="51"/>
      <c r="B185" s="51"/>
    </row>
    <row r="186" spans="1:2" ht="12.75">
      <c r="A186" s="51"/>
      <c r="B186" s="51"/>
    </row>
    <row r="187" spans="1:2" ht="12.75">
      <c r="A187" s="51"/>
      <c r="B187" s="51"/>
    </row>
    <row r="188" spans="1:2" ht="12.75">
      <c r="A188" s="51"/>
      <c r="B188" s="51"/>
    </row>
    <row r="189" spans="1:2" ht="12.75">
      <c r="A189" s="51"/>
      <c r="B189" s="51"/>
    </row>
    <row r="190" spans="1:2" ht="12.75">
      <c r="A190" s="51"/>
      <c r="B190" s="51"/>
    </row>
    <row r="191" spans="1:2" ht="12.75">
      <c r="A191" s="51"/>
      <c r="B191" s="51"/>
    </row>
    <row r="192" spans="1:2" ht="12.75">
      <c r="A192" s="51"/>
      <c r="B192" s="51"/>
    </row>
    <row r="193" spans="1:2" ht="12.75">
      <c r="A193" s="51"/>
      <c r="B193" s="51"/>
    </row>
    <row r="194" spans="1:2" ht="12.75">
      <c r="A194" s="51"/>
      <c r="B194" s="51"/>
    </row>
    <row r="195" spans="1:2" ht="12.75">
      <c r="A195" s="51"/>
      <c r="B195" s="51"/>
    </row>
    <row r="196" spans="1:2" ht="12.75">
      <c r="A196" s="51"/>
      <c r="B196" s="51"/>
    </row>
    <row r="197" spans="1:2" ht="12.75">
      <c r="A197" s="51"/>
      <c r="B197" s="51"/>
    </row>
    <row r="198" spans="1:2" ht="12.75">
      <c r="A198" s="51"/>
      <c r="B198" s="51"/>
    </row>
    <row r="199" spans="1:2" ht="12.75">
      <c r="A199" s="51"/>
      <c r="B199" s="51"/>
    </row>
    <row r="200" spans="1:2" ht="12.75">
      <c r="A200" s="51"/>
      <c r="B200" s="51"/>
    </row>
    <row r="201" spans="1:2" ht="12.75">
      <c r="A201" s="51"/>
      <c r="B201" s="51"/>
    </row>
    <row r="202" spans="1:2" ht="12.75">
      <c r="A202" s="51"/>
      <c r="B202" s="51"/>
    </row>
    <row r="203" spans="1:2" ht="12.75">
      <c r="A203" s="51"/>
      <c r="B203" s="51"/>
    </row>
    <row r="204" spans="1:2" ht="12.75">
      <c r="A204" s="51"/>
      <c r="B204" s="51"/>
    </row>
    <row r="205" spans="1:2" ht="12.75">
      <c r="A205" s="51"/>
      <c r="B205" s="51"/>
    </row>
    <row r="206" spans="1:2" ht="12.75">
      <c r="A206" s="51"/>
      <c r="B206" s="51"/>
    </row>
    <row r="207" spans="1:2" ht="12.75">
      <c r="A207" s="51"/>
      <c r="B207" s="51"/>
    </row>
    <row r="208" spans="1:2" ht="12.75">
      <c r="A208" s="51"/>
      <c r="B208" s="51"/>
    </row>
    <row r="209" spans="1:2" ht="12.75">
      <c r="A209" s="51"/>
      <c r="B209" s="51"/>
    </row>
    <row r="210" spans="1:2" ht="12.75">
      <c r="A210" s="51"/>
      <c r="B210" s="51"/>
    </row>
    <row r="211" spans="1:2" ht="12.75">
      <c r="A211" s="51"/>
      <c r="B211" s="51"/>
    </row>
    <row r="212" spans="1:2" ht="12.75">
      <c r="A212" s="51"/>
      <c r="B212" s="51"/>
    </row>
    <row r="213" spans="1:2" ht="12.75">
      <c r="A213" s="51"/>
      <c r="B213" s="51"/>
    </row>
    <row r="214" spans="1:2" ht="12.75">
      <c r="A214" s="51"/>
      <c r="B214" s="51"/>
    </row>
    <row r="215" spans="1:2" ht="12.75">
      <c r="A215" s="51"/>
      <c r="B215" s="51"/>
    </row>
    <row r="216" spans="1:2" ht="12.75">
      <c r="A216" s="51"/>
      <c r="B216" s="51"/>
    </row>
    <row r="217" spans="1:2" ht="12.75">
      <c r="A217" s="51"/>
      <c r="B217" s="51"/>
    </row>
    <row r="218" spans="1:2" ht="12.75">
      <c r="A218" s="51"/>
      <c r="B218" s="51"/>
    </row>
    <row r="219" spans="1:2" ht="12.75">
      <c r="A219" s="51"/>
      <c r="B219" s="51"/>
    </row>
    <row r="220" spans="1:2" ht="12.75">
      <c r="A220" s="51"/>
      <c r="B220" s="51"/>
    </row>
    <row r="221" spans="1:2" ht="12.75">
      <c r="A221" s="51"/>
      <c r="B221" s="51"/>
    </row>
    <row r="222" spans="1:2" ht="12.75">
      <c r="A222" s="51"/>
      <c r="B222" s="51"/>
    </row>
    <row r="223" spans="1:2" ht="12.75">
      <c r="A223" s="51"/>
      <c r="B223" s="51"/>
    </row>
    <row r="224" spans="1:2" ht="12.75">
      <c r="A224" s="51"/>
      <c r="B224" s="51"/>
    </row>
    <row r="225" spans="1:2" ht="12.75">
      <c r="A225" s="51"/>
      <c r="B225" s="51"/>
    </row>
    <row r="226" spans="1:2" ht="12.75">
      <c r="A226" s="51"/>
      <c r="B226" s="51"/>
    </row>
    <row r="227" spans="1:2" ht="12.75">
      <c r="A227" s="51"/>
      <c r="B227" s="51"/>
    </row>
    <row r="228" spans="1:2" ht="12.75">
      <c r="A228" s="51"/>
      <c r="B228" s="51"/>
    </row>
    <row r="229" spans="1:2" ht="12.75">
      <c r="A229" s="51"/>
      <c r="B229" s="51"/>
    </row>
    <row r="230" spans="1:2" ht="12.75">
      <c r="A230" s="51"/>
      <c r="B230" s="51"/>
    </row>
    <row r="231" spans="1:2" ht="12.75">
      <c r="A231" s="51"/>
      <c r="B231" s="51"/>
    </row>
    <row r="232" spans="1:2" ht="12.75">
      <c r="A232" s="51"/>
      <c r="B232" s="51"/>
    </row>
    <row r="233" spans="1:2" ht="12.75">
      <c r="A233" s="51"/>
      <c r="B233" s="51"/>
    </row>
    <row r="234" spans="1:2" ht="12.75">
      <c r="A234" s="51"/>
      <c r="B234" s="51"/>
    </row>
    <row r="235" spans="1:2" ht="12.75">
      <c r="A235" s="51"/>
      <c r="B235" s="51"/>
    </row>
    <row r="236" spans="1:2" ht="12.75">
      <c r="A236" s="51"/>
      <c r="B236" s="51"/>
    </row>
    <row r="237" spans="1:2" ht="12.75">
      <c r="A237" s="51"/>
      <c r="B237" s="51"/>
    </row>
    <row r="238" spans="1:2" ht="12.75">
      <c r="A238" s="51"/>
      <c r="B238" s="51"/>
    </row>
    <row r="239" spans="1:2" ht="12.75">
      <c r="A239" s="51"/>
      <c r="B239" s="51"/>
    </row>
    <row r="240" spans="1:2" ht="12.75">
      <c r="A240" s="51"/>
      <c r="B240" s="51"/>
    </row>
    <row r="241" spans="1:2" ht="12.75">
      <c r="A241" s="51"/>
      <c r="B241" s="51"/>
    </row>
    <row r="242" spans="1:2" ht="12.75">
      <c r="A242" s="51"/>
      <c r="B242" s="51"/>
    </row>
    <row r="243" spans="1:2" ht="12.75">
      <c r="A243" s="51"/>
      <c r="B243" s="51"/>
    </row>
    <row r="244" spans="1:2" ht="12.75">
      <c r="A244" s="51"/>
      <c r="B244" s="51"/>
    </row>
    <row r="245" spans="1:2" ht="12.75">
      <c r="A245" s="51"/>
      <c r="B245" s="51"/>
    </row>
    <row r="246" spans="1:2" ht="12.75">
      <c r="A246" s="51"/>
      <c r="B246" s="51"/>
    </row>
    <row r="247" spans="1:2" ht="12.75">
      <c r="A247" s="51"/>
      <c r="B247" s="51"/>
    </row>
    <row r="248" spans="1:2" ht="12.75">
      <c r="A248" s="51"/>
      <c r="B248" s="51"/>
    </row>
    <row r="249" spans="1:2" ht="12.75">
      <c r="A249" s="51"/>
      <c r="B249" s="51"/>
    </row>
    <row r="250" spans="1:2" ht="12.75">
      <c r="A250" s="51"/>
      <c r="B250" s="51"/>
    </row>
    <row r="251" spans="1:2" ht="12.75">
      <c r="A251" s="51"/>
      <c r="B251" s="51"/>
    </row>
    <row r="252" spans="1:2" ht="12.75">
      <c r="A252" s="51"/>
      <c r="B252" s="51"/>
    </row>
    <row r="253" spans="1:2" ht="12.75">
      <c r="A253" s="51"/>
      <c r="B253" s="51"/>
    </row>
    <row r="254" spans="1:2" ht="12.75">
      <c r="A254" s="51"/>
      <c r="B254" s="51"/>
    </row>
    <row r="255" spans="1:2" ht="12.75">
      <c r="A255" s="51"/>
      <c r="B255" s="51"/>
    </row>
    <row r="256" spans="1:2" ht="12.75">
      <c r="A256" s="51"/>
      <c r="B256" s="51"/>
    </row>
    <row r="257" spans="1:2" ht="12.75">
      <c r="A257" s="51"/>
      <c r="B257" s="51"/>
    </row>
    <row r="258" spans="1:2" ht="12.75">
      <c r="A258" s="51"/>
      <c r="B258" s="51"/>
    </row>
    <row r="259" spans="1:2" ht="12.75">
      <c r="A259" s="51"/>
      <c r="B259" s="51"/>
    </row>
    <row r="260" spans="1:2" ht="12.75">
      <c r="A260" s="51"/>
      <c r="B260" s="51"/>
    </row>
    <row r="261" spans="1:2" ht="12.75">
      <c r="A261" s="51"/>
      <c r="B261" s="51"/>
    </row>
    <row r="262" spans="1:2" ht="12.75">
      <c r="A262" s="51"/>
      <c r="B262" s="51"/>
    </row>
    <row r="263" spans="1:2" ht="12.75">
      <c r="A263" s="51"/>
      <c r="B263" s="51"/>
    </row>
    <row r="264" spans="1:2" ht="12.75">
      <c r="A264" s="51"/>
      <c r="B264" s="51"/>
    </row>
  </sheetData>
  <mergeCells count="41">
    <mergeCell ref="F1:J1"/>
    <mergeCell ref="A2:J2"/>
    <mergeCell ref="A3:J3"/>
    <mergeCell ref="B4:H4"/>
    <mergeCell ref="A5:J5"/>
    <mergeCell ref="A6:J6"/>
    <mergeCell ref="A7:H7"/>
    <mergeCell ref="A8:A10"/>
    <mergeCell ref="B8:B10"/>
    <mergeCell ref="C8:C10"/>
    <mergeCell ref="D8:D10"/>
    <mergeCell ref="E8:E10"/>
    <mergeCell ref="F8:I8"/>
    <mergeCell ref="F9:G9"/>
    <mergeCell ref="H9:H10"/>
    <mergeCell ref="I9:I10"/>
    <mergeCell ref="A49:A51"/>
    <mergeCell ref="B49:B51"/>
    <mergeCell ref="C49:C51"/>
    <mergeCell ref="D49:D51"/>
    <mergeCell ref="E49:E51"/>
    <mergeCell ref="F49:I49"/>
    <mergeCell ref="F50:G50"/>
    <mergeCell ref="H50:H51"/>
    <mergeCell ref="I50:I51"/>
    <mergeCell ref="A54:J54"/>
    <mergeCell ref="A55:A56"/>
    <mergeCell ref="B55:C56"/>
    <mergeCell ref="D55:D56"/>
    <mergeCell ref="E55:E56"/>
    <mergeCell ref="F55:H55"/>
    <mergeCell ref="I55:I56"/>
    <mergeCell ref="J55:J56"/>
    <mergeCell ref="B62:C62"/>
    <mergeCell ref="B63:J63"/>
    <mergeCell ref="A57:A61"/>
    <mergeCell ref="B57:C57"/>
    <mergeCell ref="B58:C58"/>
    <mergeCell ref="B59:C59"/>
    <mergeCell ref="B60:C60"/>
    <mergeCell ref="B61:C61"/>
  </mergeCells>
  <printOptions/>
  <pageMargins left="0.75" right="0.75" top="1" bottom="1" header="0.5" footer="0.5"/>
  <pageSetup horizontalDpi="600" verticalDpi="600" orientation="portrait" paperSize="9" scale="44" r:id="rId1"/>
  <rowBreaks count="1" manualBreakCount="1">
    <brk id="63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J264"/>
  <sheetViews>
    <sheetView view="pageBreakPreview" zoomScale="60" workbookViewId="0" topLeftCell="A1">
      <selection activeCell="A1" sqref="A1:IV16384"/>
    </sheetView>
  </sheetViews>
  <sheetFormatPr defaultColWidth="9.00390625" defaultRowHeight="12.75"/>
  <cols>
    <col min="1" max="1" width="42.75390625" style="52" customWidth="1"/>
    <col min="2" max="2" width="11.125" style="52" customWidth="1"/>
    <col min="3" max="5" width="14.75390625" style="33" customWidth="1"/>
    <col min="6" max="6" width="15.75390625" style="33" customWidth="1"/>
    <col min="7" max="7" width="12.25390625" style="33" customWidth="1"/>
    <col min="8" max="8" width="13.375" style="33" customWidth="1"/>
    <col min="9" max="9" width="13.625" style="33" customWidth="1"/>
    <col min="10" max="10" width="14.75390625" style="33" customWidth="1"/>
    <col min="11" max="16384" width="9.125" style="33" customWidth="1"/>
  </cols>
  <sheetData>
    <row r="1" spans="1:10" ht="15.75">
      <c r="A1" s="31"/>
      <c r="B1" s="31"/>
      <c r="C1" s="32"/>
      <c r="D1" s="32"/>
      <c r="E1" s="32"/>
      <c r="F1" s="434" t="s">
        <v>350</v>
      </c>
      <c r="G1" s="434"/>
      <c r="H1" s="434"/>
      <c r="I1" s="434"/>
      <c r="J1" s="434"/>
    </row>
    <row r="2" spans="1:10" ht="24.75" customHeight="1">
      <c r="A2" s="403" t="s">
        <v>173</v>
      </c>
      <c r="B2" s="403"/>
      <c r="C2" s="403"/>
      <c r="D2" s="403"/>
      <c r="E2" s="403"/>
      <c r="F2" s="403"/>
      <c r="G2" s="403"/>
      <c r="H2" s="403"/>
      <c r="I2" s="403"/>
      <c r="J2" s="403"/>
    </row>
    <row r="3" spans="1:10" ht="14.25" customHeight="1">
      <c r="A3" s="435" t="s">
        <v>263</v>
      </c>
      <c r="B3" s="435"/>
      <c r="C3" s="435"/>
      <c r="D3" s="435"/>
      <c r="E3" s="435"/>
      <c r="F3" s="435"/>
      <c r="G3" s="435"/>
      <c r="H3" s="435"/>
      <c r="I3" s="435"/>
      <c r="J3" s="435"/>
    </row>
    <row r="4" spans="1:8" ht="14.25" customHeight="1">
      <c r="A4" s="34"/>
      <c r="B4" s="403" t="s">
        <v>351</v>
      </c>
      <c r="C4" s="403"/>
      <c r="D4" s="403"/>
      <c r="E4" s="403"/>
      <c r="F4" s="403"/>
      <c r="G4" s="403"/>
      <c r="H4" s="403"/>
    </row>
    <row r="5" spans="1:10" ht="7.5" customHeight="1">
      <c r="A5" s="436" t="s">
        <v>264</v>
      </c>
      <c r="B5" s="436"/>
      <c r="C5" s="436"/>
      <c r="D5" s="436"/>
      <c r="E5" s="436"/>
      <c r="F5" s="436"/>
      <c r="G5" s="436"/>
      <c r="H5" s="436"/>
      <c r="I5" s="436"/>
      <c r="J5" s="436"/>
    </row>
    <row r="6" spans="1:10" ht="15.75">
      <c r="A6" s="435" t="s">
        <v>174</v>
      </c>
      <c r="B6" s="435"/>
      <c r="C6" s="435"/>
      <c r="D6" s="435"/>
      <c r="E6" s="435"/>
      <c r="F6" s="435"/>
      <c r="G6" s="435"/>
      <c r="H6" s="435"/>
      <c r="I6" s="435"/>
      <c r="J6" s="435"/>
    </row>
    <row r="7" spans="1:8" ht="13.5" thickBot="1">
      <c r="A7" s="437"/>
      <c r="B7" s="437"/>
      <c r="C7" s="437"/>
      <c r="D7" s="437"/>
      <c r="E7" s="437"/>
      <c r="F7" s="437"/>
      <c r="G7" s="437"/>
      <c r="H7" s="437"/>
    </row>
    <row r="8" spans="1:9" ht="18.75" customHeight="1">
      <c r="A8" s="438" t="s">
        <v>175</v>
      </c>
      <c r="B8" s="430" t="s">
        <v>176</v>
      </c>
      <c r="C8" s="417" t="s">
        <v>265</v>
      </c>
      <c r="D8" s="417" t="s">
        <v>342</v>
      </c>
      <c r="E8" s="417" t="s">
        <v>343</v>
      </c>
      <c r="F8" s="420" t="s">
        <v>177</v>
      </c>
      <c r="G8" s="413"/>
      <c r="H8" s="413"/>
      <c r="I8" s="414"/>
    </row>
    <row r="9" spans="1:9" ht="18.75" customHeight="1">
      <c r="A9" s="439"/>
      <c r="B9" s="418"/>
      <c r="C9" s="418"/>
      <c r="D9" s="418"/>
      <c r="E9" s="418"/>
      <c r="F9" s="421">
        <v>2015</v>
      </c>
      <c r="G9" s="422"/>
      <c r="H9" s="423" t="s">
        <v>241</v>
      </c>
      <c r="I9" s="424" t="s">
        <v>330</v>
      </c>
    </row>
    <row r="10" spans="1:9" ht="16.5" customHeight="1">
      <c r="A10" s="439"/>
      <c r="B10" s="418"/>
      <c r="C10" s="419"/>
      <c r="D10" s="419"/>
      <c r="E10" s="419"/>
      <c r="F10" s="204" t="s">
        <v>79</v>
      </c>
      <c r="G10" s="229" t="s">
        <v>2</v>
      </c>
      <c r="H10" s="411"/>
      <c r="I10" s="409"/>
    </row>
    <row r="11" spans="1:9" ht="31.5" customHeight="1">
      <c r="A11" s="145" t="s">
        <v>178</v>
      </c>
      <c r="B11" s="53" t="s">
        <v>12</v>
      </c>
      <c r="C11" s="54">
        <v>87</v>
      </c>
      <c r="D11" s="54">
        <v>88</v>
      </c>
      <c r="E11" s="54">
        <v>88</v>
      </c>
      <c r="F11" s="54">
        <v>86</v>
      </c>
      <c r="G11" s="54">
        <v>86</v>
      </c>
      <c r="H11" s="54">
        <v>86</v>
      </c>
      <c r="I11" s="54">
        <v>86</v>
      </c>
    </row>
    <row r="12" spans="1:9" ht="33" customHeight="1">
      <c r="A12" s="145" t="s">
        <v>179</v>
      </c>
      <c r="B12" s="53" t="s">
        <v>12</v>
      </c>
      <c r="C12" s="54">
        <v>31</v>
      </c>
      <c r="D12" s="54">
        <v>23</v>
      </c>
      <c r="E12" s="54">
        <v>21</v>
      </c>
      <c r="F12" s="54">
        <v>21</v>
      </c>
      <c r="G12" s="54">
        <v>21</v>
      </c>
      <c r="H12" s="54">
        <v>22</v>
      </c>
      <c r="I12" s="54">
        <v>23</v>
      </c>
    </row>
    <row r="13" spans="1:9" ht="36.75" customHeight="1">
      <c r="A13" s="145" t="s">
        <v>180</v>
      </c>
      <c r="B13" s="53" t="s">
        <v>181</v>
      </c>
      <c r="C13" s="240">
        <v>34780</v>
      </c>
      <c r="D13" s="240">
        <v>97657</v>
      </c>
      <c r="E13" s="240">
        <v>231390</v>
      </c>
      <c r="F13" s="240">
        <v>223500</v>
      </c>
      <c r="G13" s="240">
        <v>223500</v>
      </c>
      <c r="H13" s="240">
        <v>211500</v>
      </c>
      <c r="I13" s="240">
        <v>210350</v>
      </c>
    </row>
    <row r="14" spans="1:9" ht="27" customHeight="1">
      <c r="A14" s="145" t="s">
        <v>182</v>
      </c>
      <c r="B14" s="53" t="s">
        <v>181</v>
      </c>
      <c r="C14" s="240"/>
      <c r="D14" s="240"/>
      <c r="E14" s="240"/>
      <c r="F14" s="240"/>
      <c r="G14" s="240"/>
      <c r="H14" s="240"/>
      <c r="I14" s="240"/>
    </row>
    <row r="15" spans="1:9" ht="21" customHeight="1">
      <c r="A15" s="146" t="s">
        <v>15</v>
      </c>
      <c r="B15" s="53"/>
      <c r="C15" s="55"/>
      <c r="D15" s="55"/>
      <c r="E15" s="55"/>
      <c r="F15" s="55"/>
      <c r="G15" s="55"/>
      <c r="H15" s="55"/>
      <c r="I15" s="55"/>
    </row>
    <row r="16" spans="1:9" ht="21.75" customHeight="1">
      <c r="A16" s="146" t="s">
        <v>209</v>
      </c>
      <c r="B16" s="53" t="s">
        <v>181</v>
      </c>
      <c r="C16" s="55"/>
      <c r="D16" s="55"/>
      <c r="E16" s="55"/>
      <c r="F16" s="55"/>
      <c r="G16" s="55"/>
      <c r="H16" s="55"/>
      <c r="I16" s="55"/>
    </row>
    <row r="17" spans="1:9" ht="21.75" customHeight="1">
      <c r="A17" s="146" t="s">
        <v>210</v>
      </c>
      <c r="B17" s="53" t="s">
        <v>181</v>
      </c>
      <c r="C17" s="55"/>
      <c r="D17" s="55"/>
      <c r="E17" s="55"/>
      <c r="F17" s="55"/>
      <c r="G17" s="55"/>
      <c r="H17" s="55"/>
      <c r="I17" s="55"/>
    </row>
    <row r="18" spans="1:9" ht="21" customHeight="1">
      <c r="A18" s="146" t="s">
        <v>211</v>
      </c>
      <c r="B18" s="53" t="s">
        <v>181</v>
      </c>
      <c r="C18" s="55"/>
      <c r="D18" s="55"/>
      <c r="E18" s="55"/>
      <c r="F18" s="55"/>
      <c r="G18" s="55"/>
      <c r="H18" s="55"/>
      <c r="I18" s="55"/>
    </row>
    <row r="19" spans="1:9" ht="23.25" customHeight="1">
      <c r="A19" s="146" t="s">
        <v>212</v>
      </c>
      <c r="B19" s="53" t="s">
        <v>181</v>
      </c>
      <c r="C19" s="55"/>
      <c r="D19" s="55"/>
      <c r="E19" s="55"/>
      <c r="F19" s="55"/>
      <c r="G19" s="55"/>
      <c r="H19" s="55"/>
      <c r="I19" s="55"/>
    </row>
    <row r="20" spans="1:9" ht="21.75" customHeight="1">
      <c r="A20" s="146" t="s">
        <v>213</v>
      </c>
      <c r="B20" s="53" t="s">
        <v>181</v>
      </c>
      <c r="C20" s="55"/>
      <c r="D20" s="55"/>
      <c r="E20" s="55"/>
      <c r="F20" s="55"/>
      <c r="G20" s="55"/>
      <c r="H20" s="55"/>
      <c r="I20" s="55"/>
    </row>
    <row r="21" spans="1:9" ht="20.25" customHeight="1">
      <c r="A21" s="146" t="s">
        <v>214</v>
      </c>
      <c r="B21" s="53" t="s">
        <v>181</v>
      </c>
      <c r="C21" s="64"/>
      <c r="D21" s="64"/>
      <c r="E21" s="64"/>
      <c r="F21" s="64"/>
      <c r="G21" s="64"/>
      <c r="H21" s="64"/>
      <c r="I21" s="64"/>
    </row>
    <row r="22" spans="1:9" ht="41.25" customHeight="1">
      <c r="A22" s="145" t="s">
        <v>183</v>
      </c>
      <c r="B22" s="53" t="s">
        <v>181</v>
      </c>
      <c r="C22" s="54">
        <v>179739</v>
      </c>
      <c r="D22" s="54">
        <v>416663</v>
      </c>
      <c r="E22" s="54">
        <v>561036</v>
      </c>
      <c r="F22" s="54">
        <v>130215</v>
      </c>
      <c r="G22" s="54">
        <v>130215</v>
      </c>
      <c r="H22" s="54">
        <v>167453</v>
      </c>
      <c r="I22" s="54">
        <v>201429</v>
      </c>
    </row>
    <row r="23" spans="1:9" ht="35.25" customHeight="1">
      <c r="A23" s="59" t="s">
        <v>184</v>
      </c>
      <c r="B23" s="53" t="s">
        <v>12</v>
      </c>
      <c r="C23" s="53">
        <v>0</v>
      </c>
      <c r="D23" s="53">
        <v>0</v>
      </c>
      <c r="E23" s="53">
        <v>0</v>
      </c>
      <c r="F23" s="53">
        <v>0</v>
      </c>
      <c r="G23" s="53">
        <v>0</v>
      </c>
      <c r="H23" s="53">
        <v>0</v>
      </c>
      <c r="I23" s="53">
        <v>0</v>
      </c>
    </row>
    <row r="24" spans="1:9" ht="36.75" customHeight="1">
      <c r="A24" s="145" t="s">
        <v>185</v>
      </c>
      <c r="B24" s="53" t="s">
        <v>181</v>
      </c>
      <c r="C24" s="54">
        <v>22928</v>
      </c>
      <c r="D24" s="54">
        <v>110234</v>
      </c>
      <c r="E24" s="54">
        <v>97256</v>
      </c>
      <c r="F24" s="54">
        <v>10417</v>
      </c>
      <c r="G24" s="54">
        <v>10417</v>
      </c>
      <c r="H24" s="54">
        <v>13396</v>
      </c>
      <c r="I24" s="54">
        <v>16114</v>
      </c>
    </row>
    <row r="25" spans="1:9" ht="43.5" customHeight="1">
      <c r="A25" s="145" t="s">
        <v>186</v>
      </c>
      <c r="B25" s="53" t="s">
        <v>181</v>
      </c>
      <c r="C25" s="54">
        <v>137504</v>
      </c>
      <c r="D25" s="54">
        <v>268833</v>
      </c>
      <c r="E25" s="54">
        <v>425405</v>
      </c>
      <c r="F25" s="54">
        <v>119798</v>
      </c>
      <c r="G25" s="54">
        <v>119798</v>
      </c>
      <c r="H25" s="54">
        <v>154056</v>
      </c>
      <c r="I25" s="54">
        <v>185315</v>
      </c>
    </row>
    <row r="26" spans="1:9" ht="34.5" customHeight="1">
      <c r="A26" s="145" t="s">
        <v>187</v>
      </c>
      <c r="B26" s="53" t="s">
        <v>13</v>
      </c>
      <c r="C26" s="241">
        <f aca="true" t="shared" si="0" ref="C26:I26">C25/C22</f>
        <v>0.7650203906775936</v>
      </c>
      <c r="D26" s="241">
        <f t="shared" si="0"/>
        <v>0.6452048778029247</v>
      </c>
      <c r="E26" s="241">
        <f t="shared" si="0"/>
        <v>0.7582490250180024</v>
      </c>
      <c r="F26" s="241">
        <f t="shared" si="0"/>
        <v>0.9200015359213608</v>
      </c>
      <c r="G26" s="241">
        <f t="shared" si="0"/>
        <v>0.9200015359213608</v>
      </c>
      <c r="H26" s="241">
        <f t="shared" si="0"/>
        <v>0.9199954614130532</v>
      </c>
      <c r="I26" s="241">
        <f t="shared" si="0"/>
        <v>0.9200015886491022</v>
      </c>
    </row>
    <row r="27" spans="1:9" ht="30.75" customHeight="1">
      <c r="A27" s="145" t="s">
        <v>188</v>
      </c>
      <c r="B27" s="53"/>
      <c r="C27" s="54"/>
      <c r="D27" s="54"/>
      <c r="E27" s="54"/>
      <c r="F27" s="54"/>
      <c r="G27" s="54"/>
      <c r="H27" s="54"/>
      <c r="I27" s="54"/>
    </row>
    <row r="28" spans="1:9" ht="15.75">
      <c r="A28" s="59" t="s">
        <v>189</v>
      </c>
      <c r="B28" s="53" t="s">
        <v>12</v>
      </c>
      <c r="C28" s="54"/>
      <c r="D28" s="54"/>
      <c r="E28" s="54"/>
      <c r="F28" s="54"/>
      <c r="G28" s="54"/>
      <c r="H28" s="54"/>
      <c r="I28" s="54"/>
    </row>
    <row r="29" spans="1:9" ht="15.75">
      <c r="A29" s="59" t="s">
        <v>190</v>
      </c>
      <c r="B29" s="53" t="s">
        <v>12</v>
      </c>
      <c r="C29" s="54"/>
      <c r="D29" s="54"/>
      <c r="E29" s="54"/>
      <c r="F29" s="54"/>
      <c r="G29" s="54"/>
      <c r="H29" s="54"/>
      <c r="I29" s="54"/>
    </row>
    <row r="30" spans="1:9" ht="15.75">
      <c r="A30" s="59" t="s">
        <v>191</v>
      </c>
      <c r="B30" s="53" t="s">
        <v>12</v>
      </c>
      <c r="C30" s="54"/>
      <c r="D30" s="54"/>
      <c r="E30" s="54"/>
      <c r="F30" s="54"/>
      <c r="G30" s="54"/>
      <c r="H30" s="54"/>
      <c r="I30" s="54"/>
    </row>
    <row r="31" spans="1:9" ht="15.75">
      <c r="A31" s="59" t="s">
        <v>192</v>
      </c>
      <c r="B31" s="53" t="s">
        <v>12</v>
      </c>
      <c r="C31" s="54"/>
      <c r="D31" s="54"/>
      <c r="E31" s="54"/>
      <c r="F31" s="54"/>
      <c r="G31" s="54"/>
      <c r="H31" s="54"/>
      <c r="I31" s="54"/>
    </row>
    <row r="32" spans="1:9" ht="34.5" customHeight="1">
      <c r="A32" s="145" t="s">
        <v>193</v>
      </c>
      <c r="B32" s="53"/>
      <c r="C32" s="54"/>
      <c r="D32" s="54"/>
      <c r="E32" s="54"/>
      <c r="F32" s="54"/>
      <c r="G32" s="54"/>
      <c r="H32" s="54"/>
      <c r="I32" s="54"/>
    </row>
    <row r="33" spans="1:9" ht="15.75">
      <c r="A33" s="147" t="s">
        <v>194</v>
      </c>
      <c r="B33" s="53" t="s">
        <v>181</v>
      </c>
      <c r="C33" s="54">
        <v>29626</v>
      </c>
      <c r="D33" s="54">
        <v>77710</v>
      </c>
      <c r="E33" s="54">
        <v>119113</v>
      </c>
      <c r="F33" s="54">
        <v>27554</v>
      </c>
      <c r="G33" s="54">
        <v>27554</v>
      </c>
      <c r="H33" s="54">
        <v>35433</v>
      </c>
      <c r="I33" s="54">
        <v>42622</v>
      </c>
    </row>
    <row r="34" spans="1:9" ht="15.75">
      <c r="A34" s="147" t="s">
        <v>195</v>
      </c>
      <c r="B34" s="53" t="s">
        <v>181</v>
      </c>
      <c r="C34" s="54">
        <v>23876</v>
      </c>
      <c r="D34" s="54">
        <v>91491</v>
      </c>
      <c r="E34" s="54">
        <v>121984</v>
      </c>
      <c r="F34" s="54">
        <v>27554</v>
      </c>
      <c r="G34" s="54">
        <v>27554</v>
      </c>
      <c r="H34" s="54">
        <v>35433</v>
      </c>
      <c r="I34" s="54">
        <v>42622</v>
      </c>
    </row>
    <row r="35" spans="1:9" ht="31.5">
      <c r="A35" s="59" t="s">
        <v>196</v>
      </c>
      <c r="B35" s="53" t="s">
        <v>181</v>
      </c>
      <c r="C35" s="54"/>
      <c r="D35" s="54"/>
      <c r="E35" s="54"/>
      <c r="F35" s="54"/>
      <c r="G35" s="54"/>
      <c r="H35" s="54"/>
      <c r="I35" s="54"/>
    </row>
    <row r="36" spans="1:9" ht="15.75">
      <c r="A36" s="147" t="s">
        <v>194</v>
      </c>
      <c r="B36" s="53" t="s">
        <v>181</v>
      </c>
      <c r="C36" s="54"/>
      <c r="D36" s="54"/>
      <c r="E36" s="54"/>
      <c r="F36" s="54"/>
      <c r="G36" s="54"/>
      <c r="H36" s="54"/>
      <c r="I36" s="54"/>
    </row>
    <row r="37" spans="1:9" ht="15.75">
      <c r="A37" s="147" t="s">
        <v>195</v>
      </c>
      <c r="B37" s="53" t="s">
        <v>181</v>
      </c>
      <c r="C37" s="54"/>
      <c r="D37" s="54"/>
      <c r="E37" s="54"/>
      <c r="F37" s="54"/>
      <c r="G37" s="54"/>
      <c r="H37" s="54"/>
      <c r="I37" s="54"/>
    </row>
    <row r="38" spans="1:9" ht="33" customHeight="1">
      <c r="A38" s="145" t="s">
        <v>197</v>
      </c>
      <c r="B38" s="53" t="s">
        <v>181</v>
      </c>
      <c r="C38" s="54">
        <v>2723</v>
      </c>
      <c r="D38" s="54">
        <v>2857</v>
      </c>
      <c r="E38" s="54">
        <v>564</v>
      </c>
      <c r="F38" s="54">
        <v>0</v>
      </c>
      <c r="G38" s="54">
        <v>0</v>
      </c>
      <c r="H38" s="54">
        <v>0</v>
      </c>
      <c r="I38" s="54">
        <v>0</v>
      </c>
    </row>
    <row r="39" spans="1:9" ht="15.75">
      <c r="A39" s="59" t="s">
        <v>198</v>
      </c>
      <c r="B39" s="53"/>
      <c r="C39" s="54"/>
      <c r="D39" s="54"/>
      <c r="E39" s="54"/>
      <c r="F39" s="54"/>
      <c r="G39" s="54"/>
      <c r="H39" s="54"/>
      <c r="I39" s="54"/>
    </row>
    <row r="40" spans="1:9" ht="15.75">
      <c r="A40" s="147" t="s">
        <v>199</v>
      </c>
      <c r="B40" s="53" t="s">
        <v>181</v>
      </c>
      <c r="C40" s="54"/>
      <c r="D40" s="54"/>
      <c r="E40" s="54"/>
      <c r="F40" s="54"/>
      <c r="G40" s="54"/>
      <c r="H40" s="54"/>
      <c r="I40" s="54"/>
    </row>
    <row r="41" spans="1:9" ht="15.75">
      <c r="A41" s="147" t="s">
        <v>200</v>
      </c>
      <c r="B41" s="53" t="s">
        <v>181</v>
      </c>
      <c r="C41" s="54"/>
      <c r="D41" s="54"/>
      <c r="E41" s="54"/>
      <c r="F41" s="54"/>
      <c r="G41" s="54"/>
      <c r="H41" s="54"/>
      <c r="I41" s="54"/>
    </row>
    <row r="42" spans="1:9" ht="28.5" customHeight="1">
      <c r="A42" s="147" t="s">
        <v>201</v>
      </c>
      <c r="B42" s="53" t="s">
        <v>181</v>
      </c>
      <c r="C42" s="54"/>
      <c r="D42" s="54"/>
      <c r="E42" s="54"/>
      <c r="F42" s="54"/>
      <c r="G42" s="54"/>
      <c r="H42" s="54"/>
      <c r="I42" s="54"/>
    </row>
    <row r="43" spans="1:9" ht="32.25" customHeight="1">
      <c r="A43" s="145" t="s">
        <v>202</v>
      </c>
      <c r="B43" s="53" t="s">
        <v>203</v>
      </c>
      <c r="C43" s="240">
        <v>73</v>
      </c>
      <c r="D43" s="240">
        <v>189</v>
      </c>
      <c r="E43" s="240">
        <v>185</v>
      </c>
      <c r="F43" s="240">
        <v>75</v>
      </c>
      <c r="G43" s="240">
        <v>75</v>
      </c>
      <c r="H43" s="240">
        <v>75</v>
      </c>
      <c r="I43" s="240">
        <v>75</v>
      </c>
    </row>
    <row r="44" spans="1:9" ht="32.25" customHeight="1">
      <c r="A44" s="145" t="s">
        <v>204</v>
      </c>
      <c r="B44" s="53" t="s">
        <v>14</v>
      </c>
      <c r="C44" s="242">
        <v>0</v>
      </c>
      <c r="D44" s="242">
        <v>0</v>
      </c>
      <c r="E44" s="242">
        <v>0</v>
      </c>
      <c r="F44" s="242">
        <v>0</v>
      </c>
      <c r="G44" s="242">
        <v>0</v>
      </c>
      <c r="H44" s="242">
        <v>0</v>
      </c>
      <c r="I44" s="242">
        <v>0</v>
      </c>
    </row>
    <row r="45" spans="1:9" ht="34.5" customHeight="1">
      <c r="A45" s="145" t="s">
        <v>205</v>
      </c>
      <c r="B45" s="53" t="s">
        <v>181</v>
      </c>
      <c r="C45" s="240">
        <v>20601</v>
      </c>
      <c r="D45" s="240">
        <v>60589</v>
      </c>
      <c r="E45" s="240">
        <v>95716</v>
      </c>
      <c r="F45" s="240">
        <v>26955</v>
      </c>
      <c r="G45" s="240">
        <v>26955</v>
      </c>
      <c r="H45" s="240">
        <v>34663</v>
      </c>
      <c r="I45" s="240">
        <v>41696</v>
      </c>
    </row>
    <row r="46" spans="1:9" ht="34.5" customHeight="1" thickBot="1">
      <c r="A46" s="169" t="s">
        <v>206</v>
      </c>
      <c r="B46" s="170" t="s">
        <v>181</v>
      </c>
      <c r="C46" s="239">
        <v>0</v>
      </c>
      <c r="D46" s="239">
        <v>0</v>
      </c>
      <c r="E46" s="239">
        <v>0</v>
      </c>
      <c r="F46" s="239">
        <v>0</v>
      </c>
      <c r="G46" s="239">
        <v>0</v>
      </c>
      <c r="H46" s="239">
        <v>0</v>
      </c>
      <c r="I46" s="239">
        <v>0</v>
      </c>
    </row>
    <row r="47" spans="1:10" ht="13.5" customHeight="1">
      <c r="A47" s="47"/>
      <c r="B47" s="34"/>
      <c r="C47" s="48"/>
      <c r="D47" s="48"/>
      <c r="E47" s="48"/>
      <c r="F47" s="48"/>
      <c r="G47" s="48"/>
      <c r="H47" s="48"/>
      <c r="I47" s="48"/>
      <c r="J47" s="48"/>
    </row>
    <row r="48" spans="1:10" ht="19.5" customHeight="1" thickBot="1">
      <c r="A48" s="49"/>
      <c r="B48" s="50"/>
      <c r="C48" s="32"/>
      <c r="D48" s="32"/>
      <c r="E48" s="32"/>
      <c r="F48" s="32"/>
      <c r="G48" s="32"/>
      <c r="H48" s="32"/>
      <c r="I48" s="32"/>
      <c r="J48" s="32"/>
    </row>
    <row r="49" spans="1:9" ht="15.75" customHeight="1">
      <c r="A49" s="466" t="s">
        <v>207</v>
      </c>
      <c r="B49" s="419" t="s">
        <v>176</v>
      </c>
      <c r="C49" s="417" t="s">
        <v>265</v>
      </c>
      <c r="D49" s="417" t="s">
        <v>342</v>
      </c>
      <c r="E49" s="417" t="s">
        <v>343</v>
      </c>
      <c r="F49" s="420" t="s">
        <v>177</v>
      </c>
      <c r="G49" s="413"/>
      <c r="H49" s="413"/>
      <c r="I49" s="414"/>
    </row>
    <row r="50" spans="1:9" ht="15.75" customHeight="1">
      <c r="A50" s="451"/>
      <c r="B50" s="418"/>
      <c r="C50" s="418"/>
      <c r="D50" s="418"/>
      <c r="E50" s="418"/>
      <c r="F50" s="421">
        <v>2015</v>
      </c>
      <c r="G50" s="422"/>
      <c r="H50" s="423" t="s">
        <v>241</v>
      </c>
      <c r="I50" s="424" t="s">
        <v>330</v>
      </c>
    </row>
    <row r="51" spans="1:9" ht="18.75" customHeight="1" thickBot="1">
      <c r="A51" s="458"/>
      <c r="B51" s="459"/>
      <c r="C51" s="419"/>
      <c r="D51" s="419"/>
      <c r="E51" s="419"/>
      <c r="F51" s="204" t="s">
        <v>79</v>
      </c>
      <c r="G51" s="229" t="s">
        <v>2</v>
      </c>
      <c r="H51" s="411"/>
      <c r="I51" s="409"/>
    </row>
    <row r="52" spans="1:9" ht="16.5" thickBot="1">
      <c r="A52" s="243"/>
      <c r="B52" s="244"/>
      <c r="C52" s="203"/>
      <c r="D52" s="203"/>
      <c r="E52" s="55"/>
      <c r="F52" s="203"/>
      <c r="G52" s="203"/>
      <c r="H52" s="203"/>
      <c r="I52" s="203"/>
    </row>
    <row r="53" spans="1:10" s="148" customFormat="1" ht="22.5" customHeight="1">
      <c r="A53" s="57"/>
      <c r="B53" s="57"/>
      <c r="C53" s="48"/>
      <c r="D53" s="48"/>
      <c r="E53" s="48"/>
      <c r="F53" s="48"/>
      <c r="G53" s="48"/>
      <c r="H53" s="48"/>
      <c r="I53" s="48"/>
      <c r="J53" s="48"/>
    </row>
    <row r="54" spans="1:10" s="148" customFormat="1" ht="22.5" customHeight="1" thickBot="1">
      <c r="A54" s="403" t="s">
        <v>365</v>
      </c>
      <c r="B54" s="403"/>
      <c r="C54" s="403"/>
      <c r="D54" s="403"/>
      <c r="E54" s="403"/>
      <c r="F54" s="403"/>
      <c r="G54" s="403"/>
      <c r="H54" s="403"/>
      <c r="I54" s="403"/>
      <c r="J54" s="403"/>
    </row>
    <row r="55" spans="1:10" s="148" customFormat="1" ht="63.75" customHeight="1">
      <c r="A55" s="404" t="s">
        <v>270</v>
      </c>
      <c r="B55" s="406" t="s">
        <v>271</v>
      </c>
      <c r="C55" s="407"/>
      <c r="D55" s="410" t="s">
        <v>272</v>
      </c>
      <c r="E55" s="410" t="s">
        <v>273</v>
      </c>
      <c r="F55" s="412" t="s">
        <v>274</v>
      </c>
      <c r="G55" s="413"/>
      <c r="H55" s="414"/>
      <c r="I55" s="410" t="s">
        <v>275</v>
      </c>
      <c r="J55" s="415" t="s">
        <v>108</v>
      </c>
    </row>
    <row r="56" spans="1:10" s="148" customFormat="1" ht="113.25" customHeight="1" thickBot="1">
      <c r="A56" s="445"/>
      <c r="B56" s="446"/>
      <c r="C56" s="447"/>
      <c r="D56" s="448"/>
      <c r="E56" s="448"/>
      <c r="F56" s="151" t="s">
        <v>283</v>
      </c>
      <c r="G56" s="151" t="s">
        <v>284</v>
      </c>
      <c r="H56" s="151" t="s">
        <v>278</v>
      </c>
      <c r="I56" s="448"/>
      <c r="J56" s="449"/>
    </row>
    <row r="57" spans="1:10" s="148" customFormat="1" ht="36.75" customHeight="1">
      <c r="A57" s="442" t="s">
        <v>303</v>
      </c>
      <c r="B57" s="465" t="s">
        <v>366</v>
      </c>
      <c r="C57" s="465"/>
      <c r="D57" s="245"/>
      <c r="E57" s="152"/>
      <c r="F57" s="152"/>
      <c r="G57" s="152"/>
      <c r="H57" s="152"/>
      <c r="I57" s="152"/>
      <c r="J57" s="153"/>
    </row>
    <row r="58" spans="1:10" s="148" customFormat="1" ht="22.5" customHeight="1">
      <c r="A58" s="443"/>
      <c r="B58" s="465">
        <v>2014</v>
      </c>
      <c r="C58" s="465">
        <v>2013</v>
      </c>
      <c r="D58" s="246"/>
      <c r="E58" s="154"/>
      <c r="F58" s="29"/>
      <c r="G58" s="154"/>
      <c r="H58" s="154"/>
      <c r="I58" s="154"/>
      <c r="J58" s="155"/>
    </row>
    <row r="59" spans="1:10" s="148" customFormat="1" ht="22.5" customHeight="1">
      <c r="A59" s="443"/>
      <c r="B59" s="465">
        <v>2015</v>
      </c>
      <c r="C59" s="465">
        <v>2014</v>
      </c>
      <c r="D59" s="247"/>
      <c r="E59" s="64"/>
      <c r="F59" s="29"/>
      <c r="G59" s="64"/>
      <c r="H59" s="64"/>
      <c r="I59" s="64"/>
      <c r="J59" s="156"/>
    </row>
    <row r="60" spans="1:10" s="148" customFormat="1" ht="22.5" customHeight="1">
      <c r="A60" s="443"/>
      <c r="B60" s="465">
        <v>2016</v>
      </c>
      <c r="C60" s="465">
        <v>2015</v>
      </c>
      <c r="D60" s="247"/>
      <c r="E60" s="64"/>
      <c r="F60" s="29"/>
      <c r="G60" s="64"/>
      <c r="H60" s="64"/>
      <c r="I60" s="64"/>
      <c r="J60" s="156"/>
    </row>
    <row r="61" spans="1:10" s="148" customFormat="1" ht="22.5" customHeight="1">
      <c r="A61" s="444"/>
      <c r="B61" s="465">
        <v>2017</v>
      </c>
      <c r="C61" s="465">
        <v>2016</v>
      </c>
      <c r="D61" s="247"/>
      <c r="E61" s="64"/>
      <c r="F61" s="29"/>
      <c r="G61" s="64"/>
      <c r="H61" s="64"/>
      <c r="I61" s="64"/>
      <c r="J61" s="156"/>
    </row>
    <row r="62" spans="1:10" s="148" customFormat="1" ht="22.5" customHeight="1" thickBot="1">
      <c r="A62" s="171" t="s">
        <v>301</v>
      </c>
      <c r="B62" s="461"/>
      <c r="C62" s="462"/>
      <c r="D62" s="172"/>
      <c r="E62" s="172"/>
      <c r="F62" s="172"/>
      <c r="G62" s="172"/>
      <c r="H62" s="172"/>
      <c r="I62" s="172"/>
      <c r="J62" s="173"/>
    </row>
    <row r="63" spans="1:10" ht="27" customHeight="1">
      <c r="A63" s="50" t="s">
        <v>279</v>
      </c>
      <c r="B63" s="464" t="s">
        <v>352</v>
      </c>
      <c r="C63" s="464"/>
      <c r="D63" s="464"/>
      <c r="E63" s="464"/>
      <c r="F63" s="464"/>
      <c r="G63" s="464"/>
      <c r="H63" s="464"/>
      <c r="I63" s="464"/>
      <c r="J63" s="464"/>
    </row>
    <row r="64" spans="1:2" ht="7.5" customHeight="1">
      <c r="A64" s="51"/>
      <c r="B64" s="51"/>
    </row>
    <row r="65" spans="1:2" ht="12.75">
      <c r="A65" s="51"/>
      <c r="B65" s="51"/>
    </row>
    <row r="66" spans="1:2" ht="12.75">
      <c r="A66" s="51"/>
      <c r="B66" s="51"/>
    </row>
    <row r="67" spans="1:2" ht="12.75">
      <c r="A67" s="51"/>
      <c r="B67" s="51"/>
    </row>
    <row r="68" spans="1:2" ht="12.75">
      <c r="A68" s="51"/>
      <c r="B68" s="51"/>
    </row>
    <row r="69" spans="1:2" ht="12.75">
      <c r="A69" s="51"/>
      <c r="B69" s="51"/>
    </row>
    <row r="70" spans="1:2" ht="12.75">
      <c r="A70" s="51"/>
      <c r="B70" s="51"/>
    </row>
    <row r="71" spans="1:2" ht="12.75">
      <c r="A71" s="51"/>
      <c r="B71" s="51"/>
    </row>
    <row r="72" spans="1:2" ht="12.75">
      <c r="A72" s="51"/>
      <c r="B72" s="51"/>
    </row>
    <row r="73" spans="1:2" ht="12.75">
      <c r="A73" s="51"/>
      <c r="B73" s="51"/>
    </row>
    <row r="74" spans="1:2" ht="12.75">
      <c r="A74" s="51"/>
      <c r="B74" s="51"/>
    </row>
    <row r="75" spans="1:2" ht="12.75">
      <c r="A75" s="51"/>
      <c r="B75" s="51"/>
    </row>
    <row r="76" spans="1:2" ht="12.75">
      <c r="A76" s="51"/>
      <c r="B76" s="51"/>
    </row>
    <row r="77" spans="1:2" ht="12.75">
      <c r="A77" s="51"/>
      <c r="B77" s="51"/>
    </row>
    <row r="78" spans="1:2" ht="12.75">
      <c r="A78" s="51"/>
      <c r="B78" s="51"/>
    </row>
    <row r="79" spans="1:2" ht="12.75">
      <c r="A79" s="51"/>
      <c r="B79" s="51"/>
    </row>
    <row r="80" spans="1:2" ht="12.75">
      <c r="A80" s="51"/>
      <c r="B80" s="51"/>
    </row>
    <row r="81" spans="1:2" ht="12.75">
      <c r="A81" s="51"/>
      <c r="B81" s="51"/>
    </row>
    <row r="82" spans="1:2" ht="12.75">
      <c r="A82" s="51"/>
      <c r="B82" s="51"/>
    </row>
    <row r="83" spans="1:2" ht="12.75">
      <c r="A83" s="51"/>
      <c r="B83" s="51"/>
    </row>
    <row r="84" spans="1:2" ht="12.75">
      <c r="A84" s="51"/>
      <c r="B84" s="51"/>
    </row>
    <row r="85" spans="1:2" ht="12.75">
      <c r="A85" s="51"/>
      <c r="B85" s="51"/>
    </row>
    <row r="86" spans="1:2" ht="12.75">
      <c r="A86" s="51"/>
      <c r="B86" s="51"/>
    </row>
    <row r="87" spans="1:2" ht="12.75">
      <c r="A87" s="51"/>
      <c r="B87" s="51"/>
    </row>
    <row r="88" spans="1:2" ht="12.75">
      <c r="A88" s="51"/>
      <c r="B88" s="51"/>
    </row>
    <row r="89" spans="1:2" ht="12.75">
      <c r="A89" s="51"/>
      <c r="B89" s="51"/>
    </row>
    <row r="90" spans="1:2" ht="12.75">
      <c r="A90" s="51"/>
      <c r="B90" s="51"/>
    </row>
    <row r="91" spans="1:2" ht="12.75">
      <c r="A91" s="51"/>
      <c r="B91" s="51"/>
    </row>
    <row r="92" spans="1:2" ht="12.75">
      <c r="A92" s="51"/>
      <c r="B92" s="51"/>
    </row>
    <row r="93" spans="1:2" ht="12.75">
      <c r="A93" s="51"/>
      <c r="B93" s="51"/>
    </row>
    <row r="94" spans="1:2" ht="12.75">
      <c r="A94" s="51"/>
      <c r="B94" s="51"/>
    </row>
    <row r="95" spans="1:2" ht="12.75">
      <c r="A95" s="51"/>
      <c r="B95" s="51"/>
    </row>
    <row r="96" spans="1:2" ht="12.75">
      <c r="A96" s="51"/>
      <c r="B96" s="51"/>
    </row>
    <row r="97" spans="1:2" ht="12.75">
      <c r="A97" s="51"/>
      <c r="B97" s="51"/>
    </row>
    <row r="98" spans="1:2" ht="12.75">
      <c r="A98" s="51"/>
      <c r="B98" s="51"/>
    </row>
    <row r="99" spans="1:2" ht="12.75">
      <c r="A99" s="51"/>
      <c r="B99" s="51"/>
    </row>
    <row r="100" spans="1:2" ht="12.75">
      <c r="A100" s="51"/>
      <c r="B100" s="51"/>
    </row>
    <row r="101" spans="1:2" ht="12.75">
      <c r="A101" s="51"/>
      <c r="B101" s="51"/>
    </row>
    <row r="102" spans="1:2" ht="12.75">
      <c r="A102" s="51"/>
      <c r="B102" s="51"/>
    </row>
    <row r="103" spans="1:2" ht="12.75">
      <c r="A103" s="51"/>
      <c r="B103" s="51"/>
    </row>
    <row r="104" spans="1:2" ht="12.75">
      <c r="A104" s="51"/>
      <c r="B104" s="51"/>
    </row>
    <row r="105" spans="1:2" ht="12.75">
      <c r="A105" s="51"/>
      <c r="B105" s="51"/>
    </row>
    <row r="106" spans="1:2" ht="12.75">
      <c r="A106" s="51"/>
      <c r="B106" s="51"/>
    </row>
    <row r="107" spans="1:2" ht="12.75">
      <c r="A107" s="51"/>
      <c r="B107" s="51"/>
    </row>
    <row r="108" spans="1:2" ht="12.75">
      <c r="A108" s="51"/>
      <c r="B108" s="51"/>
    </row>
    <row r="109" spans="1:2" ht="12.75">
      <c r="A109" s="51"/>
      <c r="B109" s="51"/>
    </row>
    <row r="110" spans="1:2" ht="12.75">
      <c r="A110" s="51"/>
      <c r="B110" s="51"/>
    </row>
    <row r="111" spans="1:2" ht="12.75">
      <c r="A111" s="51"/>
      <c r="B111" s="51"/>
    </row>
    <row r="112" spans="1:2" ht="12.75">
      <c r="A112" s="51"/>
      <c r="B112" s="51"/>
    </row>
    <row r="113" spans="1:2" ht="12.75">
      <c r="A113" s="51"/>
      <c r="B113" s="51"/>
    </row>
    <row r="114" spans="1:2" ht="12.75">
      <c r="A114" s="51"/>
      <c r="B114" s="51"/>
    </row>
    <row r="115" spans="1:2" ht="12.75">
      <c r="A115" s="51"/>
      <c r="B115" s="51"/>
    </row>
    <row r="116" spans="1:2" ht="12.75">
      <c r="A116" s="51"/>
      <c r="B116" s="51"/>
    </row>
    <row r="117" spans="1:2" ht="12.75">
      <c r="A117" s="51"/>
      <c r="B117" s="51"/>
    </row>
    <row r="118" spans="1:2" ht="12.75">
      <c r="A118" s="51"/>
      <c r="B118" s="51"/>
    </row>
    <row r="119" spans="1:2" ht="12.75">
      <c r="A119" s="51"/>
      <c r="B119" s="51"/>
    </row>
    <row r="120" spans="1:2" ht="12.75">
      <c r="A120" s="51"/>
      <c r="B120" s="51"/>
    </row>
    <row r="121" spans="1:2" ht="12.75">
      <c r="A121" s="51"/>
      <c r="B121" s="51"/>
    </row>
    <row r="122" spans="1:2" ht="12.75">
      <c r="A122" s="51"/>
      <c r="B122" s="51"/>
    </row>
    <row r="123" spans="1:2" ht="12.75">
      <c r="A123" s="51"/>
      <c r="B123" s="51"/>
    </row>
    <row r="124" spans="1:2" ht="12.75">
      <c r="A124" s="51"/>
      <c r="B124" s="51"/>
    </row>
    <row r="125" spans="1:2" ht="12.75">
      <c r="A125" s="51"/>
      <c r="B125" s="51"/>
    </row>
    <row r="126" spans="1:2" ht="12.75">
      <c r="A126" s="51"/>
      <c r="B126" s="51"/>
    </row>
    <row r="127" spans="1:2" ht="12.75">
      <c r="A127" s="51"/>
      <c r="B127" s="51"/>
    </row>
    <row r="128" spans="1:2" ht="12.75">
      <c r="A128" s="51"/>
      <c r="B128" s="51"/>
    </row>
    <row r="129" spans="1:2" ht="12.75">
      <c r="A129" s="51"/>
      <c r="B129" s="51"/>
    </row>
    <row r="130" spans="1:2" ht="12.75">
      <c r="A130" s="51"/>
      <c r="B130" s="51"/>
    </row>
    <row r="131" spans="1:2" ht="12.75">
      <c r="A131" s="51"/>
      <c r="B131" s="51"/>
    </row>
    <row r="132" spans="1:2" ht="12.75">
      <c r="A132" s="51"/>
      <c r="B132" s="51"/>
    </row>
    <row r="133" spans="1:2" ht="12.75">
      <c r="A133" s="51"/>
      <c r="B133" s="51"/>
    </row>
    <row r="134" spans="1:2" ht="12.75">
      <c r="A134" s="51"/>
      <c r="B134" s="51"/>
    </row>
    <row r="135" spans="1:2" ht="12.75">
      <c r="A135" s="51"/>
      <c r="B135" s="51"/>
    </row>
    <row r="136" spans="1:2" ht="12.75">
      <c r="A136" s="51"/>
      <c r="B136" s="51"/>
    </row>
    <row r="137" spans="1:2" ht="12.75">
      <c r="A137" s="51"/>
      <c r="B137" s="51"/>
    </row>
    <row r="138" spans="1:2" ht="12.75">
      <c r="A138" s="51"/>
      <c r="B138" s="51"/>
    </row>
    <row r="139" spans="1:2" ht="12.75">
      <c r="A139" s="51"/>
      <c r="B139" s="51"/>
    </row>
    <row r="140" spans="1:2" ht="12.75">
      <c r="A140" s="51"/>
      <c r="B140" s="51"/>
    </row>
    <row r="141" spans="1:2" ht="12.75">
      <c r="A141" s="51"/>
      <c r="B141" s="51"/>
    </row>
    <row r="142" spans="1:2" ht="12.75">
      <c r="A142" s="51"/>
      <c r="B142" s="51"/>
    </row>
    <row r="143" spans="1:2" ht="12.75">
      <c r="A143" s="51"/>
      <c r="B143" s="51"/>
    </row>
    <row r="144" spans="1:2" ht="12.75">
      <c r="A144" s="51"/>
      <c r="B144" s="51"/>
    </row>
    <row r="145" spans="1:2" ht="12.75">
      <c r="A145" s="51"/>
      <c r="B145" s="51"/>
    </row>
    <row r="146" spans="1:2" ht="12.75">
      <c r="A146" s="51"/>
      <c r="B146" s="51"/>
    </row>
    <row r="147" spans="1:2" ht="12.75">
      <c r="A147" s="51"/>
      <c r="B147" s="51"/>
    </row>
    <row r="148" spans="1:2" ht="12.75">
      <c r="A148" s="51"/>
      <c r="B148" s="51"/>
    </row>
    <row r="149" spans="1:2" ht="12.75">
      <c r="A149" s="51"/>
      <c r="B149" s="51"/>
    </row>
    <row r="150" spans="1:2" ht="12.75">
      <c r="A150" s="51"/>
      <c r="B150" s="51"/>
    </row>
    <row r="151" spans="1:2" ht="12.75">
      <c r="A151" s="51"/>
      <c r="B151" s="51"/>
    </row>
    <row r="152" spans="1:2" ht="12.75">
      <c r="A152" s="51"/>
      <c r="B152" s="51"/>
    </row>
    <row r="153" spans="1:2" ht="12.75">
      <c r="A153" s="51"/>
      <c r="B153" s="51"/>
    </row>
    <row r="154" spans="1:2" ht="12.75">
      <c r="A154" s="51"/>
      <c r="B154" s="51"/>
    </row>
    <row r="155" spans="1:2" ht="12.75">
      <c r="A155" s="51"/>
      <c r="B155" s="51"/>
    </row>
    <row r="156" spans="1:2" ht="12.75">
      <c r="A156" s="51"/>
      <c r="B156" s="51"/>
    </row>
    <row r="157" spans="1:2" ht="12.75">
      <c r="A157" s="51"/>
      <c r="B157" s="51"/>
    </row>
    <row r="158" spans="1:2" ht="12.75">
      <c r="A158" s="51"/>
      <c r="B158" s="51"/>
    </row>
    <row r="159" spans="1:2" ht="12.75">
      <c r="A159" s="51"/>
      <c r="B159" s="51"/>
    </row>
    <row r="160" spans="1:2" ht="12.75">
      <c r="A160" s="51"/>
      <c r="B160" s="51"/>
    </row>
    <row r="161" spans="1:2" ht="12.75">
      <c r="A161" s="51"/>
      <c r="B161" s="51"/>
    </row>
    <row r="162" spans="1:2" ht="12.75">
      <c r="A162" s="51"/>
      <c r="B162" s="51"/>
    </row>
    <row r="163" spans="1:2" ht="12.75">
      <c r="A163" s="51"/>
      <c r="B163" s="51"/>
    </row>
    <row r="164" spans="1:2" ht="12.75">
      <c r="A164" s="51"/>
      <c r="B164" s="51"/>
    </row>
    <row r="165" spans="1:2" ht="12.75">
      <c r="A165" s="51"/>
      <c r="B165" s="51"/>
    </row>
    <row r="166" spans="1:2" ht="12.75">
      <c r="A166" s="51"/>
      <c r="B166" s="51"/>
    </row>
    <row r="167" spans="1:2" ht="12.75">
      <c r="A167" s="51"/>
      <c r="B167" s="51"/>
    </row>
    <row r="168" spans="1:2" ht="12.75">
      <c r="A168" s="51"/>
      <c r="B168" s="51"/>
    </row>
    <row r="169" spans="1:2" ht="12.75">
      <c r="A169" s="51"/>
      <c r="B169" s="51"/>
    </row>
    <row r="170" spans="1:2" ht="12.75">
      <c r="A170" s="51"/>
      <c r="B170" s="51"/>
    </row>
    <row r="171" spans="1:2" ht="12.75">
      <c r="A171" s="51"/>
      <c r="B171" s="51"/>
    </row>
    <row r="172" spans="1:2" ht="12.75">
      <c r="A172" s="51"/>
      <c r="B172" s="51"/>
    </row>
    <row r="173" spans="1:2" ht="12.75">
      <c r="A173" s="51"/>
      <c r="B173" s="51"/>
    </row>
    <row r="174" spans="1:2" ht="12.75">
      <c r="A174" s="51"/>
      <c r="B174" s="51"/>
    </row>
    <row r="175" spans="1:2" ht="12.75">
      <c r="A175" s="51"/>
      <c r="B175" s="51"/>
    </row>
    <row r="176" spans="1:2" ht="12.75">
      <c r="A176" s="51"/>
      <c r="B176" s="51"/>
    </row>
    <row r="177" spans="1:2" ht="12.75">
      <c r="A177" s="51"/>
      <c r="B177" s="51"/>
    </row>
    <row r="178" spans="1:2" ht="12.75">
      <c r="A178" s="51"/>
      <c r="B178" s="51"/>
    </row>
    <row r="179" spans="1:2" ht="12.75">
      <c r="A179" s="51"/>
      <c r="B179" s="51"/>
    </row>
    <row r="180" spans="1:2" ht="12.75">
      <c r="A180" s="51"/>
      <c r="B180" s="51"/>
    </row>
    <row r="181" spans="1:2" ht="12.75">
      <c r="A181" s="51"/>
      <c r="B181" s="51"/>
    </row>
    <row r="182" spans="1:2" ht="12.75">
      <c r="A182" s="51"/>
      <c r="B182" s="51"/>
    </row>
    <row r="183" spans="1:2" ht="12.75">
      <c r="A183" s="51"/>
      <c r="B183" s="51"/>
    </row>
    <row r="184" spans="1:2" ht="12.75">
      <c r="A184" s="51"/>
      <c r="B184" s="51"/>
    </row>
    <row r="185" spans="1:2" ht="12.75">
      <c r="A185" s="51"/>
      <c r="B185" s="51"/>
    </row>
    <row r="186" spans="1:2" ht="12.75">
      <c r="A186" s="51"/>
      <c r="B186" s="51"/>
    </row>
    <row r="187" spans="1:2" ht="12.75">
      <c r="A187" s="51"/>
      <c r="B187" s="51"/>
    </row>
    <row r="188" spans="1:2" ht="12.75">
      <c r="A188" s="51"/>
      <c r="B188" s="51"/>
    </row>
    <row r="189" spans="1:2" ht="12.75">
      <c r="A189" s="51"/>
      <c r="B189" s="51"/>
    </row>
    <row r="190" spans="1:2" ht="12.75">
      <c r="A190" s="51"/>
      <c r="B190" s="51"/>
    </row>
    <row r="191" spans="1:2" ht="12.75">
      <c r="A191" s="51"/>
      <c r="B191" s="51"/>
    </row>
    <row r="192" spans="1:2" ht="12.75">
      <c r="A192" s="51"/>
      <c r="B192" s="51"/>
    </row>
    <row r="193" spans="1:2" ht="12.75">
      <c r="A193" s="51"/>
      <c r="B193" s="51"/>
    </row>
    <row r="194" spans="1:2" ht="12.75">
      <c r="A194" s="51"/>
      <c r="B194" s="51"/>
    </row>
    <row r="195" spans="1:2" ht="12.75">
      <c r="A195" s="51"/>
      <c r="B195" s="51"/>
    </row>
    <row r="196" spans="1:2" ht="12.75">
      <c r="A196" s="51"/>
      <c r="B196" s="51"/>
    </row>
    <row r="197" spans="1:2" ht="12.75">
      <c r="A197" s="51"/>
      <c r="B197" s="51"/>
    </row>
    <row r="198" spans="1:2" ht="12.75">
      <c r="A198" s="51"/>
      <c r="B198" s="51"/>
    </row>
    <row r="199" spans="1:2" ht="12.75">
      <c r="A199" s="51"/>
      <c r="B199" s="51"/>
    </row>
    <row r="200" spans="1:2" ht="12.75">
      <c r="A200" s="51"/>
      <c r="B200" s="51"/>
    </row>
    <row r="201" spans="1:2" ht="12.75">
      <c r="A201" s="51"/>
      <c r="B201" s="51"/>
    </row>
    <row r="202" spans="1:2" ht="12.75">
      <c r="A202" s="51"/>
      <c r="B202" s="51"/>
    </row>
    <row r="203" spans="1:2" ht="12.75">
      <c r="A203" s="51"/>
      <c r="B203" s="51"/>
    </row>
    <row r="204" spans="1:2" ht="12.75">
      <c r="A204" s="51"/>
      <c r="B204" s="51"/>
    </row>
    <row r="205" spans="1:2" ht="12.75">
      <c r="A205" s="51"/>
      <c r="B205" s="51"/>
    </row>
    <row r="206" spans="1:2" ht="12.75">
      <c r="A206" s="51"/>
      <c r="B206" s="51"/>
    </row>
    <row r="207" spans="1:2" ht="12.75">
      <c r="A207" s="51"/>
      <c r="B207" s="51"/>
    </row>
    <row r="208" spans="1:2" ht="12.75">
      <c r="A208" s="51"/>
      <c r="B208" s="51"/>
    </row>
    <row r="209" spans="1:2" ht="12.75">
      <c r="A209" s="51"/>
      <c r="B209" s="51"/>
    </row>
    <row r="210" spans="1:2" ht="12.75">
      <c r="A210" s="51"/>
      <c r="B210" s="51"/>
    </row>
    <row r="211" spans="1:2" ht="12.75">
      <c r="A211" s="51"/>
      <c r="B211" s="51"/>
    </row>
    <row r="212" spans="1:2" ht="12.75">
      <c r="A212" s="51"/>
      <c r="B212" s="51"/>
    </row>
    <row r="213" spans="1:2" ht="12.75">
      <c r="A213" s="51"/>
      <c r="B213" s="51"/>
    </row>
    <row r="214" spans="1:2" ht="12.75">
      <c r="A214" s="51"/>
      <c r="B214" s="51"/>
    </row>
    <row r="215" spans="1:2" ht="12.75">
      <c r="A215" s="51"/>
      <c r="B215" s="51"/>
    </row>
    <row r="216" spans="1:2" ht="12.75">
      <c r="A216" s="51"/>
      <c r="B216" s="51"/>
    </row>
    <row r="217" spans="1:2" ht="12.75">
      <c r="A217" s="51"/>
      <c r="B217" s="51"/>
    </row>
    <row r="218" spans="1:2" ht="12.75">
      <c r="A218" s="51"/>
      <c r="B218" s="51"/>
    </row>
    <row r="219" spans="1:2" ht="12.75">
      <c r="A219" s="51"/>
      <c r="B219" s="51"/>
    </row>
    <row r="220" spans="1:2" ht="12.75">
      <c r="A220" s="51"/>
      <c r="B220" s="51"/>
    </row>
    <row r="221" spans="1:2" ht="12.75">
      <c r="A221" s="51"/>
      <c r="B221" s="51"/>
    </row>
    <row r="222" spans="1:2" ht="12.75">
      <c r="A222" s="51"/>
      <c r="B222" s="51"/>
    </row>
    <row r="223" spans="1:2" ht="12.75">
      <c r="A223" s="51"/>
      <c r="B223" s="51"/>
    </row>
    <row r="224" spans="1:2" ht="12.75">
      <c r="A224" s="51"/>
      <c r="B224" s="51"/>
    </row>
    <row r="225" spans="1:2" ht="12.75">
      <c r="A225" s="51"/>
      <c r="B225" s="51"/>
    </row>
    <row r="226" spans="1:2" ht="12.75">
      <c r="A226" s="51"/>
      <c r="B226" s="51"/>
    </row>
    <row r="227" spans="1:2" ht="12.75">
      <c r="A227" s="51"/>
      <c r="B227" s="51"/>
    </row>
    <row r="228" spans="1:2" ht="12.75">
      <c r="A228" s="51"/>
      <c r="B228" s="51"/>
    </row>
    <row r="229" spans="1:2" ht="12.75">
      <c r="A229" s="51"/>
      <c r="B229" s="51"/>
    </row>
    <row r="230" spans="1:2" ht="12.75">
      <c r="A230" s="51"/>
      <c r="B230" s="51"/>
    </row>
    <row r="231" spans="1:2" ht="12.75">
      <c r="A231" s="51"/>
      <c r="B231" s="51"/>
    </row>
    <row r="232" spans="1:2" ht="12.75">
      <c r="A232" s="51"/>
      <c r="B232" s="51"/>
    </row>
    <row r="233" spans="1:2" ht="12.75">
      <c r="A233" s="51"/>
      <c r="B233" s="51"/>
    </row>
    <row r="234" spans="1:2" ht="12.75">
      <c r="A234" s="51"/>
      <c r="B234" s="51"/>
    </row>
    <row r="235" spans="1:2" ht="12.75">
      <c r="A235" s="51"/>
      <c r="B235" s="51"/>
    </row>
    <row r="236" spans="1:2" ht="12.75">
      <c r="A236" s="51"/>
      <c r="B236" s="51"/>
    </row>
    <row r="237" spans="1:2" ht="12.75">
      <c r="A237" s="51"/>
      <c r="B237" s="51"/>
    </row>
    <row r="238" spans="1:2" ht="12.75">
      <c r="A238" s="51"/>
      <c r="B238" s="51"/>
    </row>
    <row r="239" spans="1:2" ht="12.75">
      <c r="A239" s="51"/>
      <c r="B239" s="51"/>
    </row>
    <row r="240" spans="1:2" ht="12.75">
      <c r="A240" s="51"/>
      <c r="B240" s="51"/>
    </row>
    <row r="241" spans="1:2" ht="12.75">
      <c r="A241" s="51"/>
      <c r="B241" s="51"/>
    </row>
    <row r="242" spans="1:2" ht="12.75">
      <c r="A242" s="51"/>
      <c r="B242" s="51"/>
    </row>
    <row r="243" spans="1:2" ht="12.75">
      <c r="A243" s="51"/>
      <c r="B243" s="51"/>
    </row>
    <row r="244" spans="1:2" ht="12.75">
      <c r="A244" s="51"/>
      <c r="B244" s="51"/>
    </row>
    <row r="245" spans="1:2" ht="12.75">
      <c r="A245" s="51"/>
      <c r="B245" s="51"/>
    </row>
    <row r="246" spans="1:2" ht="12.75">
      <c r="A246" s="51"/>
      <c r="B246" s="51"/>
    </row>
    <row r="247" spans="1:2" ht="12.75">
      <c r="A247" s="51"/>
      <c r="B247" s="51"/>
    </row>
    <row r="248" spans="1:2" ht="12.75">
      <c r="A248" s="51"/>
      <c r="B248" s="51"/>
    </row>
    <row r="249" spans="1:2" ht="12.75">
      <c r="A249" s="51"/>
      <c r="B249" s="51"/>
    </row>
    <row r="250" spans="1:2" ht="12.75">
      <c r="A250" s="51"/>
      <c r="B250" s="51"/>
    </row>
    <row r="251" spans="1:2" ht="12.75">
      <c r="A251" s="51"/>
      <c r="B251" s="51"/>
    </row>
    <row r="252" spans="1:2" ht="12.75">
      <c r="A252" s="51"/>
      <c r="B252" s="51"/>
    </row>
    <row r="253" spans="1:2" ht="12.75">
      <c r="A253" s="51"/>
      <c r="B253" s="51"/>
    </row>
    <row r="254" spans="1:2" ht="12.75">
      <c r="A254" s="51"/>
      <c r="B254" s="51"/>
    </row>
    <row r="255" spans="1:2" ht="12.75">
      <c r="A255" s="51"/>
      <c r="B255" s="51"/>
    </row>
    <row r="256" spans="1:2" ht="12.75">
      <c r="A256" s="51"/>
      <c r="B256" s="51"/>
    </row>
    <row r="257" spans="1:2" ht="12.75">
      <c r="A257" s="51"/>
      <c r="B257" s="51"/>
    </row>
    <row r="258" spans="1:2" ht="12.75">
      <c r="A258" s="51"/>
      <c r="B258" s="51"/>
    </row>
    <row r="259" spans="1:2" ht="12.75">
      <c r="A259" s="51"/>
      <c r="B259" s="51"/>
    </row>
    <row r="260" spans="1:2" ht="12.75">
      <c r="A260" s="51"/>
      <c r="B260" s="51"/>
    </row>
    <row r="261" spans="1:2" ht="12.75">
      <c r="A261" s="51"/>
      <c r="B261" s="51"/>
    </row>
    <row r="262" spans="1:2" ht="12.75">
      <c r="A262" s="51"/>
      <c r="B262" s="51"/>
    </row>
    <row r="263" spans="1:2" ht="12.75">
      <c r="A263" s="51"/>
      <c r="B263" s="51"/>
    </row>
    <row r="264" spans="1:2" ht="12.75">
      <c r="A264" s="51"/>
      <c r="B264" s="51"/>
    </row>
  </sheetData>
  <mergeCells count="41">
    <mergeCell ref="B62:C62"/>
    <mergeCell ref="B63:J63"/>
    <mergeCell ref="A57:A61"/>
    <mergeCell ref="B57:C57"/>
    <mergeCell ref="B58:C58"/>
    <mergeCell ref="B59:C59"/>
    <mergeCell ref="B60:C60"/>
    <mergeCell ref="B61:C61"/>
    <mergeCell ref="I50:I51"/>
    <mergeCell ref="A54:J54"/>
    <mergeCell ref="A55:A56"/>
    <mergeCell ref="B55:C56"/>
    <mergeCell ref="D55:D56"/>
    <mergeCell ref="E55:E56"/>
    <mergeCell ref="F55:H55"/>
    <mergeCell ref="I55:I56"/>
    <mergeCell ref="J55:J56"/>
    <mergeCell ref="H9:H10"/>
    <mergeCell ref="I9:I10"/>
    <mergeCell ref="A49:A51"/>
    <mergeCell ref="B49:B51"/>
    <mergeCell ref="C49:C51"/>
    <mergeCell ref="D49:D51"/>
    <mergeCell ref="E49:E51"/>
    <mergeCell ref="F49:I49"/>
    <mergeCell ref="F50:G50"/>
    <mergeCell ref="H50:H51"/>
    <mergeCell ref="A5:J5"/>
    <mergeCell ref="A6:J6"/>
    <mergeCell ref="A7:H7"/>
    <mergeCell ref="A8:A10"/>
    <mergeCell ref="B8:B10"/>
    <mergeCell ref="C8:C10"/>
    <mergeCell ref="D8:D10"/>
    <mergeCell ref="E8:E10"/>
    <mergeCell ref="F8:I8"/>
    <mergeCell ref="F9:G9"/>
    <mergeCell ref="F1:J1"/>
    <mergeCell ref="A2:J2"/>
    <mergeCell ref="A3:J3"/>
    <mergeCell ref="B4:H4"/>
  </mergeCells>
  <printOptions/>
  <pageMargins left="0.75" right="0.75" top="1" bottom="1" header="0.5" footer="0.5"/>
  <pageSetup horizontalDpi="600" verticalDpi="600" orientation="portrait" paperSize="9" scale="4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66"/>
  <sheetViews>
    <sheetView view="pageBreakPreview" zoomScale="60" workbookViewId="0" topLeftCell="A1">
      <selection activeCell="A1" sqref="A1:IV16384"/>
    </sheetView>
  </sheetViews>
  <sheetFormatPr defaultColWidth="9.00390625" defaultRowHeight="12.75"/>
  <cols>
    <col min="1" max="1" width="42.75390625" style="52" customWidth="1"/>
    <col min="2" max="2" width="11.125" style="52" customWidth="1"/>
    <col min="3" max="5" width="14.75390625" style="33" customWidth="1"/>
    <col min="6" max="6" width="15.75390625" style="33" customWidth="1"/>
    <col min="7" max="7" width="12.25390625" style="33" customWidth="1"/>
    <col min="8" max="8" width="13.375" style="33" customWidth="1"/>
    <col min="9" max="9" width="13.625" style="33" customWidth="1"/>
    <col min="10" max="10" width="14.75390625" style="33" customWidth="1"/>
    <col min="11" max="16384" width="9.125" style="33" customWidth="1"/>
  </cols>
  <sheetData>
    <row r="1" spans="1:10" ht="15.75">
      <c r="A1" s="31"/>
      <c r="B1" s="31"/>
      <c r="C1" s="32"/>
      <c r="D1" s="32"/>
      <c r="E1" s="32"/>
      <c r="F1" s="434" t="s">
        <v>240</v>
      </c>
      <c r="G1" s="434"/>
      <c r="H1" s="434"/>
      <c r="I1" s="434"/>
      <c r="J1" s="434"/>
    </row>
    <row r="2" spans="1:10" ht="24.75" customHeight="1">
      <c r="A2" s="403" t="s">
        <v>173</v>
      </c>
      <c r="B2" s="403"/>
      <c r="C2" s="403"/>
      <c r="D2" s="403"/>
      <c r="E2" s="403"/>
      <c r="F2" s="403"/>
      <c r="G2" s="403"/>
      <c r="H2" s="403"/>
      <c r="I2" s="403"/>
      <c r="J2" s="403"/>
    </row>
    <row r="3" spans="1:8" ht="14.25" customHeight="1">
      <c r="A3" s="34"/>
      <c r="B3" s="34"/>
      <c r="C3" s="34"/>
      <c r="D3" s="34"/>
      <c r="E3" s="34"/>
      <c r="F3" s="34"/>
      <c r="G3" s="34"/>
      <c r="H3" s="34"/>
    </row>
    <row r="4" spans="1:10" ht="18" customHeight="1">
      <c r="A4" s="469" t="s">
        <v>218</v>
      </c>
      <c r="B4" s="469"/>
      <c r="C4" s="469"/>
      <c r="D4" s="469"/>
      <c r="E4" s="469"/>
      <c r="F4" s="469"/>
      <c r="G4" s="469"/>
      <c r="H4" s="469"/>
      <c r="I4" s="469"/>
      <c r="J4" s="469"/>
    </row>
    <row r="5" spans="1:10" ht="15.75">
      <c r="A5" s="435" t="s">
        <v>174</v>
      </c>
      <c r="B5" s="435"/>
      <c r="C5" s="435"/>
      <c r="D5" s="435"/>
      <c r="E5" s="435"/>
      <c r="F5" s="435"/>
      <c r="G5" s="435"/>
      <c r="H5" s="435"/>
      <c r="I5" s="435"/>
      <c r="J5" s="435"/>
    </row>
    <row r="6" spans="1:8" ht="13.5" thickBot="1">
      <c r="A6" s="437"/>
      <c r="B6" s="437"/>
      <c r="C6" s="437"/>
      <c r="D6" s="437"/>
      <c r="E6" s="437"/>
      <c r="F6" s="437"/>
      <c r="G6" s="437"/>
      <c r="H6" s="437"/>
    </row>
    <row r="7" spans="1:9" ht="18.75" customHeight="1">
      <c r="A7" s="438" t="s">
        <v>175</v>
      </c>
      <c r="B7" s="430" t="s">
        <v>176</v>
      </c>
      <c r="C7" s="417" t="s">
        <v>265</v>
      </c>
      <c r="D7" s="417" t="s">
        <v>342</v>
      </c>
      <c r="E7" s="417" t="s">
        <v>343</v>
      </c>
      <c r="F7" s="420" t="s">
        <v>177</v>
      </c>
      <c r="G7" s="413"/>
      <c r="H7" s="413"/>
      <c r="I7" s="414"/>
    </row>
    <row r="8" spans="1:9" ht="18.75" customHeight="1">
      <c r="A8" s="439"/>
      <c r="B8" s="418"/>
      <c r="C8" s="418"/>
      <c r="D8" s="418"/>
      <c r="E8" s="418"/>
      <c r="F8" s="421">
        <v>2015</v>
      </c>
      <c r="G8" s="422"/>
      <c r="H8" s="423" t="s">
        <v>241</v>
      </c>
      <c r="I8" s="424" t="s">
        <v>330</v>
      </c>
    </row>
    <row r="9" spans="1:9" ht="16.5" customHeight="1">
      <c r="A9" s="439"/>
      <c r="B9" s="418"/>
      <c r="C9" s="419"/>
      <c r="D9" s="419"/>
      <c r="E9" s="419"/>
      <c r="F9" s="204" t="s">
        <v>79</v>
      </c>
      <c r="G9" s="229" t="s">
        <v>2</v>
      </c>
      <c r="H9" s="411"/>
      <c r="I9" s="409"/>
    </row>
    <row r="10" spans="1:9" ht="31.5" customHeight="1">
      <c r="A10" s="145" t="s">
        <v>178</v>
      </c>
      <c r="B10" s="53" t="s">
        <v>12</v>
      </c>
      <c r="C10" s="234">
        <v>82.9</v>
      </c>
      <c r="D10" s="234">
        <v>83.2</v>
      </c>
      <c r="E10" s="234">
        <v>85.3</v>
      </c>
      <c r="F10" s="234">
        <v>86.3</v>
      </c>
      <c r="G10" s="234">
        <f>F10</f>
        <v>86.3</v>
      </c>
      <c r="H10" s="234">
        <v>87.6</v>
      </c>
      <c r="I10" s="234">
        <v>87.8</v>
      </c>
    </row>
    <row r="11" spans="1:9" ht="33" customHeight="1">
      <c r="A11" s="145" t="s">
        <v>179</v>
      </c>
      <c r="B11" s="53" t="s">
        <v>12</v>
      </c>
      <c r="C11" s="235">
        <v>0.7</v>
      </c>
      <c r="D11" s="235">
        <v>0.71</v>
      </c>
      <c r="E11" s="235">
        <v>0.72</v>
      </c>
      <c r="F11" s="235">
        <v>0.79</v>
      </c>
      <c r="G11" s="235">
        <v>0.79</v>
      </c>
      <c r="H11" s="235">
        <v>0.8</v>
      </c>
      <c r="I11" s="235">
        <v>0.82</v>
      </c>
    </row>
    <row r="12" spans="1:9" ht="36.75" customHeight="1">
      <c r="A12" s="145" t="s">
        <v>180</v>
      </c>
      <c r="B12" s="53" t="s">
        <v>181</v>
      </c>
      <c r="C12" s="236">
        <v>3422</v>
      </c>
      <c r="D12" s="237">
        <v>2673</v>
      </c>
      <c r="E12" s="237">
        <v>1863</v>
      </c>
      <c r="F12" s="237">
        <v>1053</v>
      </c>
      <c r="G12" s="237">
        <f>F12</f>
        <v>1053</v>
      </c>
      <c r="H12" s="237">
        <v>993</v>
      </c>
      <c r="I12" s="176">
        <v>660</v>
      </c>
    </row>
    <row r="13" spans="1:9" ht="27" customHeight="1">
      <c r="A13" s="145" t="s">
        <v>182</v>
      </c>
      <c r="B13" s="53" t="s">
        <v>181</v>
      </c>
      <c r="C13" s="237">
        <v>0</v>
      </c>
      <c r="D13" s="237">
        <f aca="true" t="shared" si="0" ref="D13:I13">SUM(D15:D20)</f>
        <v>0</v>
      </c>
      <c r="E13" s="237">
        <f t="shared" si="0"/>
        <v>0</v>
      </c>
      <c r="F13" s="237">
        <f t="shared" si="0"/>
        <v>0</v>
      </c>
      <c r="G13" s="237">
        <f t="shared" si="0"/>
        <v>0</v>
      </c>
      <c r="H13" s="237">
        <f t="shared" si="0"/>
        <v>0</v>
      </c>
      <c r="I13" s="176">
        <f t="shared" si="0"/>
        <v>0</v>
      </c>
    </row>
    <row r="14" spans="1:9" ht="21" customHeight="1">
      <c r="A14" s="146" t="s">
        <v>15</v>
      </c>
      <c r="B14" s="53"/>
      <c r="C14" s="177"/>
      <c r="D14" s="177"/>
      <c r="E14" s="178"/>
      <c r="F14" s="178"/>
      <c r="G14" s="178"/>
      <c r="H14" s="178"/>
      <c r="I14" s="179"/>
    </row>
    <row r="15" spans="1:9" ht="21.75" customHeight="1">
      <c r="A15" s="146" t="s">
        <v>209</v>
      </c>
      <c r="B15" s="53" t="s">
        <v>181</v>
      </c>
      <c r="C15" s="178"/>
      <c r="D15" s="178"/>
      <c r="E15" s="178"/>
      <c r="F15" s="178"/>
      <c r="G15" s="178"/>
      <c r="H15" s="178"/>
      <c r="I15" s="179"/>
    </row>
    <row r="16" spans="1:9" ht="21.75" customHeight="1">
      <c r="A16" s="146" t="s">
        <v>210</v>
      </c>
      <c r="B16" s="53" t="s">
        <v>181</v>
      </c>
      <c r="C16" s="180"/>
      <c r="D16" s="180"/>
      <c r="E16" s="180"/>
      <c r="F16" s="180"/>
      <c r="G16" s="180"/>
      <c r="H16" s="180"/>
      <c r="I16" s="176"/>
    </row>
    <row r="17" spans="1:9" ht="21" customHeight="1">
      <c r="A17" s="146" t="s">
        <v>211</v>
      </c>
      <c r="B17" s="53" t="s">
        <v>181</v>
      </c>
      <c r="C17" s="180"/>
      <c r="D17" s="180"/>
      <c r="E17" s="180"/>
      <c r="F17" s="180"/>
      <c r="G17" s="180"/>
      <c r="H17" s="180"/>
      <c r="I17" s="180"/>
    </row>
    <row r="18" spans="1:9" ht="23.25" customHeight="1">
      <c r="A18" s="146" t="s">
        <v>212</v>
      </c>
      <c r="B18" s="53" t="s">
        <v>181</v>
      </c>
      <c r="C18" s="180"/>
      <c r="D18" s="180"/>
      <c r="E18" s="180"/>
      <c r="F18" s="180"/>
      <c r="G18" s="180"/>
      <c r="H18" s="180"/>
      <c r="I18" s="180"/>
    </row>
    <row r="19" spans="1:9" ht="21.75" customHeight="1">
      <c r="A19" s="146" t="s">
        <v>213</v>
      </c>
      <c r="B19" s="53" t="s">
        <v>181</v>
      </c>
      <c r="C19" s="180"/>
      <c r="D19" s="180"/>
      <c r="E19" s="180"/>
      <c r="F19" s="180"/>
      <c r="G19" s="180"/>
      <c r="H19" s="180"/>
      <c r="I19" s="180"/>
    </row>
    <row r="20" spans="1:9" ht="20.25" customHeight="1">
      <c r="A20" s="146" t="s">
        <v>214</v>
      </c>
      <c r="B20" s="53" t="s">
        <v>181</v>
      </c>
      <c r="C20" s="179"/>
      <c r="D20" s="176"/>
      <c r="E20" s="176"/>
      <c r="F20" s="176"/>
      <c r="G20" s="176"/>
      <c r="H20" s="176"/>
      <c r="I20" s="176"/>
    </row>
    <row r="21" spans="1:9" ht="41.25" customHeight="1">
      <c r="A21" s="145" t="s">
        <v>183</v>
      </c>
      <c r="B21" s="53" t="s">
        <v>181</v>
      </c>
      <c r="C21" s="176">
        <v>195757</v>
      </c>
      <c r="D21" s="176">
        <v>207086</v>
      </c>
      <c r="E21" s="176">
        <v>201612</v>
      </c>
      <c r="F21" s="176">
        <v>214159</v>
      </c>
      <c r="G21" s="176">
        <v>214159</v>
      </c>
      <c r="H21" s="176">
        <v>227021</v>
      </c>
      <c r="I21" s="176">
        <v>241161</v>
      </c>
    </row>
    <row r="22" spans="1:9" ht="35.25" customHeight="1">
      <c r="A22" s="59" t="s">
        <v>184</v>
      </c>
      <c r="B22" s="53" t="s">
        <v>12</v>
      </c>
      <c r="C22" s="53">
        <v>0</v>
      </c>
      <c r="D22" s="53">
        <v>0</v>
      </c>
      <c r="E22" s="53">
        <v>0</v>
      </c>
      <c r="F22" s="53">
        <v>0</v>
      </c>
      <c r="G22" s="53">
        <v>0</v>
      </c>
      <c r="H22" s="53">
        <v>0</v>
      </c>
      <c r="I22" s="53">
        <v>0</v>
      </c>
    </row>
    <row r="23" spans="1:9" ht="36.75" customHeight="1">
      <c r="A23" s="145" t="s">
        <v>185</v>
      </c>
      <c r="B23" s="53" t="s">
        <v>181</v>
      </c>
      <c r="C23" s="176">
        <v>80</v>
      </c>
      <c r="D23" s="176">
        <v>4180</v>
      </c>
      <c r="E23" s="176">
        <v>1457</v>
      </c>
      <c r="F23" s="176">
        <v>562</v>
      </c>
      <c r="G23" s="176">
        <v>562</v>
      </c>
      <c r="H23" s="176">
        <v>524</v>
      </c>
      <c r="I23" s="176">
        <v>593</v>
      </c>
    </row>
    <row r="24" spans="1:9" ht="43.5" customHeight="1">
      <c r="A24" s="145" t="s">
        <v>186</v>
      </c>
      <c r="B24" s="53" t="s">
        <v>181</v>
      </c>
      <c r="C24" s="176">
        <v>195678</v>
      </c>
      <c r="D24" s="176">
        <v>202906</v>
      </c>
      <c r="E24" s="176">
        <v>200155</v>
      </c>
      <c r="F24" s="176">
        <v>213596</v>
      </c>
      <c r="G24" s="176">
        <v>213596</v>
      </c>
      <c r="H24" s="176">
        <v>226496</v>
      </c>
      <c r="I24" s="176">
        <v>240568</v>
      </c>
    </row>
    <row r="25" spans="1:9" ht="34.5" customHeight="1">
      <c r="A25" s="145" t="s">
        <v>187</v>
      </c>
      <c r="B25" s="53" t="s">
        <v>13</v>
      </c>
      <c r="C25" s="235">
        <f aca="true" t="shared" si="1" ref="C25:I25">C24/C21</f>
        <v>0.9995964384415372</v>
      </c>
      <c r="D25" s="235">
        <f t="shared" si="1"/>
        <v>0.9798151492616594</v>
      </c>
      <c r="E25" s="235">
        <f t="shared" si="1"/>
        <v>0.9927732476241493</v>
      </c>
      <c r="F25" s="235">
        <f t="shared" si="1"/>
        <v>0.9973711121176322</v>
      </c>
      <c r="G25" s="235">
        <f t="shared" si="1"/>
        <v>0.9973711121176322</v>
      </c>
      <c r="H25" s="235">
        <f t="shared" si="1"/>
        <v>0.9976874386070012</v>
      </c>
      <c r="I25" s="235">
        <f t="shared" si="1"/>
        <v>0.9975410617803044</v>
      </c>
    </row>
    <row r="26" spans="1:9" ht="30.75" customHeight="1">
      <c r="A26" s="145" t="s">
        <v>188</v>
      </c>
      <c r="B26" s="53"/>
      <c r="C26" s="54"/>
      <c r="D26" s="54"/>
      <c r="E26" s="54"/>
      <c r="F26" s="54"/>
      <c r="G26" s="54"/>
      <c r="H26" s="54"/>
      <c r="I26" s="54"/>
    </row>
    <row r="27" spans="1:9" ht="15.75">
      <c r="A27" s="59" t="s">
        <v>189</v>
      </c>
      <c r="B27" s="53" t="s">
        <v>12</v>
      </c>
      <c r="C27" s="238">
        <v>0.4</v>
      </c>
      <c r="D27" s="238">
        <v>0.2</v>
      </c>
      <c r="E27" s="238">
        <v>0.2</v>
      </c>
      <c r="F27" s="238">
        <v>0.3</v>
      </c>
      <c r="G27" s="238">
        <v>0.3</v>
      </c>
      <c r="H27" s="238">
        <v>0.3</v>
      </c>
      <c r="I27" s="238">
        <v>0.3</v>
      </c>
    </row>
    <row r="28" spans="1:9" ht="15.75">
      <c r="A28" s="59" t="s">
        <v>190</v>
      </c>
      <c r="B28" s="53" t="s">
        <v>12</v>
      </c>
      <c r="C28" s="238">
        <v>0.5</v>
      </c>
      <c r="D28" s="238">
        <v>0.6</v>
      </c>
      <c r="E28" s="238">
        <v>0.6</v>
      </c>
      <c r="F28" s="238">
        <v>0.6</v>
      </c>
      <c r="G28" s="238">
        <v>0.6</v>
      </c>
      <c r="H28" s="238">
        <v>0.6</v>
      </c>
      <c r="I28" s="238">
        <v>0.6</v>
      </c>
    </row>
    <row r="29" spans="1:9" ht="15.75">
      <c r="A29" s="59" t="s">
        <v>191</v>
      </c>
      <c r="B29" s="53" t="s">
        <v>12</v>
      </c>
      <c r="C29" s="238">
        <v>1.1</v>
      </c>
      <c r="D29" s="238">
        <v>0.6</v>
      </c>
      <c r="E29" s="238">
        <v>1.3</v>
      </c>
      <c r="F29" s="238">
        <v>1.3</v>
      </c>
      <c r="G29" s="238">
        <v>1.3</v>
      </c>
      <c r="H29" s="238">
        <v>1.3</v>
      </c>
      <c r="I29" s="238">
        <v>1.3</v>
      </c>
    </row>
    <row r="30" spans="1:9" ht="15.75">
      <c r="A30" s="59" t="s">
        <v>192</v>
      </c>
      <c r="B30" s="53" t="s">
        <v>12</v>
      </c>
      <c r="C30" s="54">
        <v>0</v>
      </c>
      <c r="D30" s="54">
        <v>0</v>
      </c>
      <c r="E30" s="54">
        <v>0</v>
      </c>
      <c r="F30" s="54">
        <v>0</v>
      </c>
      <c r="G30" s="54">
        <v>0</v>
      </c>
      <c r="H30" s="54">
        <v>0</v>
      </c>
      <c r="I30" s="54">
        <v>0</v>
      </c>
    </row>
    <row r="31" spans="1:9" ht="34.5" customHeight="1">
      <c r="A31" s="145" t="s">
        <v>193</v>
      </c>
      <c r="B31" s="53"/>
      <c r="C31" s="54"/>
      <c r="D31" s="54"/>
      <c r="E31" s="54"/>
      <c r="F31" s="54"/>
      <c r="G31" s="54"/>
      <c r="H31" s="54"/>
      <c r="I31" s="54"/>
    </row>
    <row r="32" spans="1:9" ht="15.75">
      <c r="A32" s="147" t="s">
        <v>194</v>
      </c>
      <c r="B32" s="53" t="s">
        <v>181</v>
      </c>
      <c r="C32" s="176">
        <v>64129</v>
      </c>
      <c r="D32" s="176">
        <v>76137</v>
      </c>
      <c r="E32" s="176">
        <v>79025</v>
      </c>
      <c r="F32" s="176">
        <v>83943</v>
      </c>
      <c r="G32" s="176">
        <v>83943</v>
      </c>
      <c r="H32" s="176">
        <v>88984</v>
      </c>
      <c r="I32" s="176">
        <v>94527</v>
      </c>
    </row>
    <row r="33" spans="1:9" ht="15.75">
      <c r="A33" s="147" t="s">
        <v>195</v>
      </c>
      <c r="B33" s="53" t="s">
        <v>181</v>
      </c>
      <c r="C33" s="176">
        <v>64934</v>
      </c>
      <c r="D33" s="176">
        <v>78924</v>
      </c>
      <c r="E33" s="176">
        <v>76257</v>
      </c>
      <c r="F33" s="176">
        <v>83943</v>
      </c>
      <c r="G33" s="176">
        <v>83943</v>
      </c>
      <c r="H33" s="176">
        <v>88984</v>
      </c>
      <c r="I33" s="176">
        <v>94527</v>
      </c>
    </row>
    <row r="34" spans="1:9" ht="31.5">
      <c r="A34" s="59" t="s">
        <v>196</v>
      </c>
      <c r="B34" s="53" t="s">
        <v>181</v>
      </c>
      <c r="C34" s="54"/>
      <c r="D34" s="54"/>
      <c r="E34" s="54"/>
      <c r="F34" s="54"/>
      <c r="G34" s="54"/>
      <c r="H34" s="54"/>
      <c r="I34" s="54"/>
    </row>
    <row r="35" spans="1:9" ht="15.75">
      <c r="A35" s="147" t="s">
        <v>194</v>
      </c>
      <c r="B35" s="53" t="s">
        <v>181</v>
      </c>
      <c r="C35" s="176">
        <v>538</v>
      </c>
      <c r="D35" s="176">
        <v>980</v>
      </c>
      <c r="E35" s="176">
        <v>1006</v>
      </c>
      <c r="F35" s="176">
        <v>1069</v>
      </c>
      <c r="G35" s="176">
        <v>1069</v>
      </c>
      <c r="H35" s="176">
        <v>1133</v>
      </c>
      <c r="I35" s="176">
        <v>1203</v>
      </c>
    </row>
    <row r="36" spans="1:9" ht="15.75">
      <c r="A36" s="147" t="s">
        <v>195</v>
      </c>
      <c r="B36" s="53" t="s">
        <v>181</v>
      </c>
      <c r="C36" s="176">
        <v>216</v>
      </c>
      <c r="D36" s="176">
        <v>2761</v>
      </c>
      <c r="E36" s="176">
        <v>950</v>
      </c>
      <c r="F36" s="176">
        <v>1009</v>
      </c>
      <c r="G36" s="176">
        <v>1009</v>
      </c>
      <c r="H36" s="176">
        <v>1070</v>
      </c>
      <c r="I36" s="176">
        <v>1136</v>
      </c>
    </row>
    <row r="37" spans="1:9" ht="33" customHeight="1">
      <c r="A37" s="145" t="s">
        <v>197</v>
      </c>
      <c r="B37" s="53" t="s">
        <v>181</v>
      </c>
      <c r="C37" s="176">
        <v>9898</v>
      </c>
      <c r="D37" s="176">
        <v>9898</v>
      </c>
      <c r="E37" s="176">
        <v>10800</v>
      </c>
      <c r="F37" s="176">
        <v>11472</v>
      </c>
      <c r="G37" s="176">
        <v>11472</v>
      </c>
      <c r="H37" s="176">
        <v>12161</v>
      </c>
      <c r="I37" s="176">
        <v>12919</v>
      </c>
    </row>
    <row r="38" spans="1:9" ht="15.75">
      <c r="A38" s="59" t="s">
        <v>198</v>
      </c>
      <c r="B38" s="53"/>
      <c r="C38" s="176"/>
      <c r="D38" s="176"/>
      <c r="E38" s="176"/>
      <c r="F38" s="176"/>
      <c r="G38" s="176"/>
      <c r="H38" s="176"/>
      <c r="I38" s="176"/>
    </row>
    <row r="39" spans="1:9" ht="15.75">
      <c r="A39" s="147" t="s">
        <v>199</v>
      </c>
      <c r="B39" s="53" t="s">
        <v>181</v>
      </c>
      <c r="C39" s="176">
        <v>7888</v>
      </c>
      <c r="D39" s="176">
        <v>7888</v>
      </c>
      <c r="E39" s="176">
        <v>8640</v>
      </c>
      <c r="F39" s="176">
        <v>9178</v>
      </c>
      <c r="G39" s="176">
        <v>9178</v>
      </c>
      <c r="H39" s="176">
        <v>9729</v>
      </c>
      <c r="I39" s="176">
        <v>10335</v>
      </c>
    </row>
    <row r="40" spans="1:9" ht="15.75">
      <c r="A40" s="147" t="s">
        <v>200</v>
      </c>
      <c r="B40" s="53" t="s">
        <v>181</v>
      </c>
      <c r="C40" s="176">
        <v>273</v>
      </c>
      <c r="D40" s="176">
        <v>273</v>
      </c>
      <c r="E40" s="176">
        <v>324</v>
      </c>
      <c r="F40" s="176">
        <v>344</v>
      </c>
      <c r="G40" s="176">
        <v>344</v>
      </c>
      <c r="H40" s="176">
        <v>365</v>
      </c>
      <c r="I40" s="176">
        <v>388</v>
      </c>
    </row>
    <row r="41" spans="1:9" ht="15.75">
      <c r="A41" s="147" t="s">
        <v>201</v>
      </c>
      <c r="B41" s="53" t="s">
        <v>181</v>
      </c>
      <c r="C41" s="54"/>
      <c r="D41" s="54"/>
      <c r="E41" s="54"/>
      <c r="F41" s="54"/>
      <c r="G41" s="54"/>
      <c r="H41" s="54"/>
      <c r="I41" s="54"/>
    </row>
    <row r="42" spans="1:9" ht="32.25" customHeight="1">
      <c r="A42" s="145" t="s">
        <v>202</v>
      </c>
      <c r="B42" s="53" t="s">
        <v>203</v>
      </c>
      <c r="C42" s="237">
        <v>298</v>
      </c>
      <c r="D42" s="237">
        <v>280</v>
      </c>
      <c r="E42" s="237">
        <v>282</v>
      </c>
      <c r="F42" s="237">
        <v>282</v>
      </c>
      <c r="G42" s="237">
        <v>282</v>
      </c>
      <c r="H42" s="237">
        <v>282</v>
      </c>
      <c r="I42" s="237">
        <v>282</v>
      </c>
    </row>
    <row r="43" spans="1:9" ht="32.25" customHeight="1">
      <c r="A43" s="145" t="s">
        <v>204</v>
      </c>
      <c r="B43" s="53" t="s">
        <v>14</v>
      </c>
      <c r="C43" s="64"/>
      <c r="D43" s="64"/>
      <c r="E43" s="64"/>
      <c r="F43" s="64"/>
      <c r="G43" s="64"/>
      <c r="H43" s="64"/>
      <c r="I43" s="64"/>
    </row>
    <row r="44" spans="1:9" ht="34.5" customHeight="1">
      <c r="A44" s="145" t="s">
        <v>205</v>
      </c>
      <c r="B44" s="53" t="s">
        <v>181</v>
      </c>
      <c r="C44" s="237">
        <v>95138</v>
      </c>
      <c r="D44" s="237">
        <v>105489</v>
      </c>
      <c r="E44" s="237">
        <v>105474</v>
      </c>
      <c r="F44" s="237">
        <v>111802</v>
      </c>
      <c r="G44" s="237">
        <v>111802</v>
      </c>
      <c r="H44" s="237">
        <v>118511</v>
      </c>
      <c r="I44" s="237">
        <v>125621</v>
      </c>
    </row>
    <row r="45" spans="1:9" ht="34.5" customHeight="1" thickBot="1">
      <c r="A45" s="169" t="s">
        <v>206</v>
      </c>
      <c r="B45" s="170" t="s">
        <v>181</v>
      </c>
      <c r="C45" s="239">
        <v>0</v>
      </c>
      <c r="D45" s="239">
        <v>0</v>
      </c>
      <c r="E45" s="239">
        <v>0</v>
      </c>
      <c r="F45" s="239">
        <v>0</v>
      </c>
      <c r="G45" s="239">
        <v>0</v>
      </c>
      <c r="H45" s="239">
        <v>0</v>
      </c>
      <c r="I45" s="239">
        <v>0</v>
      </c>
    </row>
    <row r="46" spans="1:10" ht="13.5" customHeight="1">
      <c r="A46" s="47"/>
      <c r="B46" s="34"/>
      <c r="C46" s="48"/>
      <c r="D46" s="48"/>
      <c r="E46" s="48"/>
      <c r="F46" s="48"/>
      <c r="G46" s="48"/>
      <c r="H46" s="48"/>
      <c r="I46" s="48"/>
      <c r="J46" s="48"/>
    </row>
    <row r="47" spans="1:10" ht="19.5" customHeight="1" thickBot="1">
      <c r="A47" s="49"/>
      <c r="B47" s="50"/>
      <c r="C47" s="32"/>
      <c r="D47" s="32"/>
      <c r="E47" s="32"/>
      <c r="F47" s="32"/>
      <c r="G47" s="32"/>
      <c r="H47" s="32"/>
      <c r="I47" s="32"/>
      <c r="J47" s="32"/>
    </row>
    <row r="48" spans="1:9" ht="15.75" customHeight="1">
      <c r="A48" s="450" t="s">
        <v>207</v>
      </c>
      <c r="B48" s="430" t="s">
        <v>176</v>
      </c>
      <c r="C48" s="417" t="s">
        <v>265</v>
      </c>
      <c r="D48" s="417" t="s">
        <v>342</v>
      </c>
      <c r="E48" s="417" t="s">
        <v>343</v>
      </c>
      <c r="F48" s="420" t="s">
        <v>177</v>
      </c>
      <c r="G48" s="413"/>
      <c r="H48" s="413"/>
      <c r="I48" s="414"/>
    </row>
    <row r="49" spans="1:9" ht="15.75" customHeight="1">
      <c r="A49" s="451"/>
      <c r="B49" s="418"/>
      <c r="C49" s="418"/>
      <c r="D49" s="418"/>
      <c r="E49" s="418"/>
      <c r="F49" s="421">
        <v>2015</v>
      </c>
      <c r="G49" s="422"/>
      <c r="H49" s="423" t="s">
        <v>241</v>
      </c>
      <c r="I49" s="424" t="s">
        <v>330</v>
      </c>
    </row>
    <row r="50" spans="1:9" ht="18.75" customHeight="1">
      <c r="A50" s="451"/>
      <c r="B50" s="418"/>
      <c r="C50" s="419"/>
      <c r="D50" s="419"/>
      <c r="E50" s="419"/>
      <c r="F50" s="204" t="s">
        <v>79</v>
      </c>
      <c r="G50" s="229" t="s">
        <v>2</v>
      </c>
      <c r="H50" s="411"/>
      <c r="I50" s="409"/>
    </row>
    <row r="51" spans="1:9" ht="32.25" thickBot="1">
      <c r="A51" s="181"/>
      <c r="B51" s="182" t="s">
        <v>208</v>
      </c>
      <c r="C51" s="183"/>
      <c r="D51" s="183"/>
      <c r="E51" s="183"/>
      <c r="F51" s="183"/>
      <c r="G51" s="184"/>
      <c r="H51" s="183"/>
      <c r="I51" s="185"/>
    </row>
    <row r="52" spans="1:10" s="148" customFormat="1" ht="22.5" customHeight="1">
      <c r="A52" s="57"/>
      <c r="B52" s="57"/>
      <c r="C52" s="48"/>
      <c r="D52" s="48"/>
      <c r="E52" s="48"/>
      <c r="F52" s="48"/>
      <c r="G52" s="48"/>
      <c r="H52" s="48"/>
      <c r="I52" s="48"/>
      <c r="J52" s="48"/>
    </row>
    <row r="53" spans="1:10" s="148" customFormat="1" ht="22.5" customHeight="1" thickBot="1">
      <c r="A53" s="403" t="s">
        <v>367</v>
      </c>
      <c r="B53" s="403"/>
      <c r="C53" s="403"/>
      <c r="D53" s="403"/>
      <c r="E53" s="403"/>
      <c r="F53" s="403"/>
      <c r="G53" s="403"/>
      <c r="H53" s="403"/>
      <c r="I53" s="403"/>
      <c r="J53" s="403"/>
    </row>
    <row r="54" spans="1:10" s="148" customFormat="1" ht="63.75" customHeight="1">
      <c r="A54" s="404" t="s">
        <v>270</v>
      </c>
      <c r="B54" s="406" t="s">
        <v>271</v>
      </c>
      <c r="C54" s="407"/>
      <c r="D54" s="410" t="s">
        <v>272</v>
      </c>
      <c r="E54" s="410" t="s">
        <v>273</v>
      </c>
      <c r="F54" s="412" t="s">
        <v>274</v>
      </c>
      <c r="G54" s="413"/>
      <c r="H54" s="414"/>
      <c r="I54" s="410" t="s">
        <v>275</v>
      </c>
      <c r="J54" s="415" t="s">
        <v>108</v>
      </c>
    </row>
    <row r="55" spans="1:10" s="148" customFormat="1" ht="36.75" customHeight="1">
      <c r="A55" s="405"/>
      <c r="B55" s="408"/>
      <c r="C55" s="409"/>
      <c r="D55" s="411"/>
      <c r="E55" s="411"/>
      <c r="F55" s="62" t="s">
        <v>283</v>
      </c>
      <c r="G55" s="62" t="s">
        <v>284</v>
      </c>
      <c r="H55" s="62" t="s">
        <v>278</v>
      </c>
      <c r="I55" s="411"/>
      <c r="J55" s="416"/>
    </row>
    <row r="56" spans="1:10" s="148" customFormat="1" ht="36.75" customHeight="1">
      <c r="A56" s="467" t="s">
        <v>303</v>
      </c>
      <c r="B56" s="465" t="s">
        <v>366</v>
      </c>
      <c r="C56" s="465"/>
      <c r="D56" s="64"/>
      <c r="E56" s="64"/>
      <c r="F56" s="64"/>
      <c r="G56" s="64"/>
      <c r="H56" s="64"/>
      <c r="I56" s="64"/>
      <c r="J56" s="156"/>
    </row>
    <row r="57" spans="1:10" s="148" customFormat="1" ht="22.5" customHeight="1">
      <c r="A57" s="443"/>
      <c r="B57" s="465">
        <v>2014</v>
      </c>
      <c r="C57" s="465">
        <v>2013</v>
      </c>
      <c r="D57" s="154"/>
      <c r="E57" s="154"/>
      <c r="F57" s="154"/>
      <c r="G57" s="154"/>
      <c r="H57" s="154"/>
      <c r="I57" s="154"/>
      <c r="J57" s="155"/>
    </row>
    <row r="58" spans="1:10" s="148" customFormat="1" ht="22.5" customHeight="1">
      <c r="A58" s="443"/>
      <c r="B58" s="465">
        <v>2015</v>
      </c>
      <c r="C58" s="465">
        <v>2014</v>
      </c>
      <c r="D58" s="64"/>
      <c r="E58" s="64"/>
      <c r="F58" s="64"/>
      <c r="G58" s="64"/>
      <c r="H58" s="64"/>
      <c r="I58" s="64"/>
      <c r="J58" s="156"/>
    </row>
    <row r="59" spans="1:10" s="148" customFormat="1" ht="22.5" customHeight="1">
      <c r="A59" s="443"/>
      <c r="B59" s="465">
        <v>2016</v>
      </c>
      <c r="C59" s="465">
        <v>2015</v>
      </c>
      <c r="D59" s="64"/>
      <c r="E59" s="64"/>
      <c r="F59" s="64"/>
      <c r="G59" s="64"/>
      <c r="H59" s="64"/>
      <c r="I59" s="64"/>
      <c r="J59" s="156"/>
    </row>
    <row r="60" spans="1:10" s="148" customFormat="1" ht="22.5" customHeight="1" thickBot="1">
      <c r="A60" s="468"/>
      <c r="B60" s="465">
        <v>2017</v>
      </c>
      <c r="C60" s="465">
        <v>2016</v>
      </c>
      <c r="D60" s="172"/>
      <c r="E60" s="172"/>
      <c r="F60" s="172"/>
      <c r="G60" s="172"/>
      <c r="H60" s="172"/>
      <c r="I60" s="172"/>
      <c r="J60" s="173"/>
    </row>
    <row r="61" spans="1:10" s="148" customFormat="1" ht="22.5" customHeight="1">
      <c r="A61" s="57"/>
      <c r="B61" s="57"/>
      <c r="C61" s="48"/>
      <c r="D61" s="48"/>
      <c r="E61" s="48"/>
      <c r="F61" s="48"/>
      <c r="G61" s="48"/>
      <c r="H61" s="48"/>
      <c r="I61" s="48"/>
      <c r="J61" s="48"/>
    </row>
    <row r="62" spans="1:10" s="148" customFormat="1" ht="22.5" customHeight="1">
      <c r="A62" s="50" t="s">
        <v>279</v>
      </c>
      <c r="B62" s="452" t="s">
        <v>361</v>
      </c>
      <c r="C62" s="452"/>
      <c r="D62" s="452"/>
      <c r="E62" s="452"/>
      <c r="F62" s="452"/>
      <c r="G62" s="452"/>
      <c r="H62" s="452"/>
      <c r="I62" s="452"/>
      <c r="J62" s="452"/>
    </row>
    <row r="63" spans="1:10" s="148" customFormat="1" ht="22.5" customHeight="1">
      <c r="A63" s="57"/>
      <c r="B63" s="57"/>
      <c r="C63" s="48"/>
      <c r="D63" s="48"/>
      <c r="E63" s="48"/>
      <c r="F63" s="48"/>
      <c r="G63" s="48"/>
      <c r="H63" s="48"/>
      <c r="I63" s="48"/>
      <c r="J63" s="48"/>
    </row>
    <row r="64" spans="1:10" s="148" customFormat="1" ht="22.5" customHeight="1">
      <c r="A64" s="57"/>
      <c r="B64" s="57"/>
      <c r="C64" s="48"/>
      <c r="D64" s="48"/>
      <c r="E64" s="48"/>
      <c r="F64" s="48"/>
      <c r="G64" s="48"/>
      <c r="H64" s="48"/>
      <c r="I64" s="48"/>
      <c r="J64" s="48"/>
    </row>
    <row r="65" spans="1:8" ht="27" customHeight="1">
      <c r="A65" s="57"/>
      <c r="B65" s="452"/>
      <c r="C65" s="452"/>
      <c r="D65" s="452"/>
      <c r="E65" s="452"/>
      <c r="F65" s="452"/>
      <c r="G65" s="452"/>
      <c r="H65" s="452"/>
    </row>
    <row r="66" spans="1:8" ht="7.5" customHeight="1">
      <c r="A66" s="186"/>
      <c r="B66" s="186"/>
      <c r="C66" s="148"/>
      <c r="D66" s="148"/>
      <c r="E66" s="148"/>
      <c r="F66" s="148"/>
      <c r="G66" s="148"/>
      <c r="H66" s="148"/>
    </row>
    <row r="67" spans="1:2" ht="12.75">
      <c r="A67" s="51"/>
      <c r="B67" s="51"/>
    </row>
    <row r="68" spans="1:2" ht="12.75">
      <c r="A68" s="51"/>
      <c r="B68" s="51"/>
    </row>
    <row r="69" spans="1:2" ht="12.75">
      <c r="A69" s="51"/>
      <c r="B69" s="51"/>
    </row>
    <row r="70" spans="1:2" ht="12.75">
      <c r="A70" s="51"/>
      <c r="B70" s="51"/>
    </row>
    <row r="71" spans="1:2" ht="12.75">
      <c r="A71" s="51"/>
      <c r="B71" s="51"/>
    </row>
    <row r="72" spans="1:2" ht="12.75">
      <c r="A72" s="51"/>
      <c r="B72" s="51"/>
    </row>
    <row r="73" spans="1:2" ht="12.75">
      <c r="A73" s="51"/>
      <c r="B73" s="51"/>
    </row>
    <row r="74" spans="1:2" ht="12.75">
      <c r="A74" s="51"/>
      <c r="B74" s="51"/>
    </row>
    <row r="75" spans="1:2" ht="12.75">
      <c r="A75" s="51"/>
      <c r="B75" s="51"/>
    </row>
    <row r="76" spans="1:2" ht="12.75">
      <c r="A76" s="51"/>
      <c r="B76" s="51"/>
    </row>
    <row r="77" spans="1:2" ht="12.75">
      <c r="A77" s="51"/>
      <c r="B77" s="51"/>
    </row>
    <row r="78" spans="1:2" ht="12.75">
      <c r="A78" s="51"/>
      <c r="B78" s="51"/>
    </row>
    <row r="79" spans="1:2" ht="12.75">
      <c r="A79" s="51"/>
      <c r="B79" s="51"/>
    </row>
    <row r="80" spans="1:2" ht="12.75">
      <c r="A80" s="51"/>
      <c r="B80" s="51"/>
    </row>
    <row r="81" spans="1:2" ht="12.75">
      <c r="A81" s="51"/>
      <c r="B81" s="51"/>
    </row>
    <row r="82" spans="1:2" ht="12.75">
      <c r="A82" s="51"/>
      <c r="B82" s="51"/>
    </row>
    <row r="83" spans="1:2" ht="12.75">
      <c r="A83" s="51"/>
      <c r="B83" s="51"/>
    </row>
    <row r="84" spans="1:2" ht="12.75">
      <c r="A84" s="51"/>
      <c r="B84" s="51"/>
    </row>
    <row r="85" spans="1:2" ht="12.75">
      <c r="A85" s="51"/>
      <c r="B85" s="51"/>
    </row>
    <row r="86" spans="1:2" ht="12.75">
      <c r="A86" s="51"/>
      <c r="B86" s="51"/>
    </row>
    <row r="87" spans="1:2" ht="12.75">
      <c r="A87" s="51"/>
      <c r="B87" s="51"/>
    </row>
    <row r="88" spans="1:2" ht="12.75">
      <c r="A88" s="51"/>
      <c r="B88" s="51"/>
    </row>
    <row r="89" spans="1:2" ht="12.75">
      <c r="A89" s="51"/>
      <c r="B89" s="51"/>
    </row>
    <row r="90" spans="1:2" ht="12.75">
      <c r="A90" s="51"/>
      <c r="B90" s="51"/>
    </row>
    <row r="91" spans="1:2" ht="12.75">
      <c r="A91" s="51"/>
      <c r="B91" s="51"/>
    </row>
    <row r="92" spans="1:2" ht="12.75">
      <c r="A92" s="51"/>
      <c r="B92" s="51"/>
    </row>
    <row r="93" spans="1:2" ht="12.75">
      <c r="A93" s="51"/>
      <c r="B93" s="51"/>
    </row>
    <row r="94" spans="1:2" ht="12.75">
      <c r="A94" s="51"/>
      <c r="B94" s="51"/>
    </row>
    <row r="95" spans="1:2" ht="12.75">
      <c r="A95" s="51"/>
      <c r="B95" s="51"/>
    </row>
    <row r="96" spans="1:2" ht="12.75">
      <c r="A96" s="51"/>
      <c r="B96" s="51"/>
    </row>
    <row r="97" spans="1:2" ht="12.75">
      <c r="A97" s="51"/>
      <c r="B97" s="51"/>
    </row>
    <row r="98" spans="1:2" ht="12.75">
      <c r="A98" s="51"/>
      <c r="B98" s="51"/>
    </row>
    <row r="99" spans="1:2" ht="12.75">
      <c r="A99" s="51"/>
      <c r="B99" s="51"/>
    </row>
    <row r="100" spans="1:2" ht="12.75">
      <c r="A100" s="51"/>
      <c r="B100" s="51"/>
    </row>
    <row r="101" spans="1:2" ht="12.75">
      <c r="A101" s="51"/>
      <c r="B101" s="51"/>
    </row>
    <row r="102" spans="1:2" ht="12.75">
      <c r="A102" s="51"/>
      <c r="B102" s="51"/>
    </row>
    <row r="103" spans="1:2" ht="12.75">
      <c r="A103" s="51"/>
      <c r="B103" s="51"/>
    </row>
    <row r="104" spans="1:2" ht="12.75">
      <c r="A104" s="51"/>
      <c r="B104" s="51"/>
    </row>
    <row r="105" spans="1:2" ht="12.75">
      <c r="A105" s="51"/>
      <c r="B105" s="51"/>
    </row>
    <row r="106" spans="1:2" ht="12.75">
      <c r="A106" s="51"/>
      <c r="B106" s="51"/>
    </row>
    <row r="107" spans="1:2" ht="12.75">
      <c r="A107" s="51"/>
      <c r="B107" s="51"/>
    </row>
    <row r="108" spans="1:2" ht="12.75">
      <c r="A108" s="51"/>
      <c r="B108" s="51"/>
    </row>
    <row r="109" spans="1:2" ht="12.75">
      <c r="A109" s="51"/>
      <c r="B109" s="51"/>
    </row>
    <row r="110" spans="1:2" ht="12.75">
      <c r="A110" s="51"/>
      <c r="B110" s="51"/>
    </row>
    <row r="111" spans="1:2" ht="12.75">
      <c r="A111" s="51"/>
      <c r="B111" s="51"/>
    </row>
    <row r="112" spans="1:2" ht="12.75">
      <c r="A112" s="51"/>
      <c r="B112" s="51"/>
    </row>
    <row r="113" spans="1:2" ht="12.75">
      <c r="A113" s="51"/>
      <c r="B113" s="51"/>
    </row>
    <row r="114" spans="1:2" ht="12.75">
      <c r="A114" s="51"/>
      <c r="B114" s="51"/>
    </row>
    <row r="115" spans="1:2" ht="12.75">
      <c r="A115" s="51"/>
      <c r="B115" s="51"/>
    </row>
    <row r="116" spans="1:2" ht="12.75">
      <c r="A116" s="51"/>
      <c r="B116" s="51"/>
    </row>
    <row r="117" spans="1:2" ht="12.75">
      <c r="A117" s="51"/>
      <c r="B117" s="51"/>
    </row>
    <row r="118" spans="1:2" ht="12.75">
      <c r="A118" s="51"/>
      <c r="B118" s="51"/>
    </row>
    <row r="119" spans="1:2" ht="12.75">
      <c r="A119" s="51"/>
      <c r="B119" s="51"/>
    </row>
    <row r="120" spans="1:2" ht="12.75">
      <c r="A120" s="51"/>
      <c r="B120" s="51"/>
    </row>
    <row r="121" spans="1:2" ht="12.75">
      <c r="A121" s="51"/>
      <c r="B121" s="51"/>
    </row>
    <row r="122" spans="1:2" ht="12.75">
      <c r="A122" s="51"/>
      <c r="B122" s="51"/>
    </row>
    <row r="123" spans="1:2" ht="12.75">
      <c r="A123" s="51"/>
      <c r="B123" s="51"/>
    </row>
    <row r="124" spans="1:2" ht="12.75">
      <c r="A124" s="51"/>
      <c r="B124" s="51"/>
    </row>
    <row r="125" spans="1:2" ht="12.75">
      <c r="A125" s="51"/>
      <c r="B125" s="51"/>
    </row>
    <row r="126" spans="1:2" ht="12.75">
      <c r="A126" s="51"/>
      <c r="B126" s="51"/>
    </row>
    <row r="127" spans="1:2" ht="12.75">
      <c r="A127" s="51"/>
      <c r="B127" s="51"/>
    </row>
    <row r="128" spans="1:2" ht="12.75">
      <c r="A128" s="51"/>
      <c r="B128" s="51"/>
    </row>
    <row r="129" spans="1:2" ht="12.75">
      <c r="A129" s="51"/>
      <c r="B129" s="51"/>
    </row>
    <row r="130" spans="1:2" ht="12.75">
      <c r="A130" s="51"/>
      <c r="B130" s="51"/>
    </row>
    <row r="131" spans="1:2" ht="12.75">
      <c r="A131" s="51"/>
      <c r="B131" s="51"/>
    </row>
    <row r="132" spans="1:2" ht="12.75">
      <c r="A132" s="51"/>
      <c r="B132" s="51"/>
    </row>
    <row r="133" spans="1:2" ht="12.75">
      <c r="A133" s="51"/>
      <c r="B133" s="51"/>
    </row>
    <row r="134" spans="1:2" ht="12.75">
      <c r="A134" s="51"/>
      <c r="B134" s="51"/>
    </row>
    <row r="135" spans="1:2" ht="12.75">
      <c r="A135" s="51"/>
      <c r="B135" s="51"/>
    </row>
    <row r="136" spans="1:2" ht="12.75">
      <c r="A136" s="51"/>
      <c r="B136" s="51"/>
    </row>
    <row r="137" spans="1:2" ht="12.75">
      <c r="A137" s="51"/>
      <c r="B137" s="51"/>
    </row>
    <row r="138" spans="1:2" ht="12.75">
      <c r="A138" s="51"/>
      <c r="B138" s="51"/>
    </row>
    <row r="139" spans="1:2" ht="12.75">
      <c r="A139" s="51"/>
      <c r="B139" s="51"/>
    </row>
    <row r="140" spans="1:2" ht="12.75">
      <c r="A140" s="51"/>
      <c r="B140" s="51"/>
    </row>
    <row r="141" spans="1:2" ht="12.75">
      <c r="A141" s="51"/>
      <c r="B141" s="51"/>
    </row>
    <row r="142" spans="1:2" ht="12.75">
      <c r="A142" s="51"/>
      <c r="B142" s="51"/>
    </row>
    <row r="143" spans="1:2" ht="12.75">
      <c r="A143" s="51"/>
      <c r="B143" s="51"/>
    </row>
    <row r="144" spans="1:2" ht="12.75">
      <c r="A144" s="51"/>
      <c r="B144" s="51"/>
    </row>
    <row r="145" spans="1:2" ht="12.75">
      <c r="A145" s="51"/>
      <c r="B145" s="51"/>
    </row>
    <row r="146" spans="1:2" ht="12.75">
      <c r="A146" s="51"/>
      <c r="B146" s="51"/>
    </row>
    <row r="147" spans="1:2" ht="12.75">
      <c r="A147" s="51"/>
      <c r="B147" s="51"/>
    </row>
    <row r="148" spans="1:2" ht="12.75">
      <c r="A148" s="51"/>
      <c r="B148" s="51"/>
    </row>
    <row r="149" spans="1:2" ht="12.75">
      <c r="A149" s="51"/>
      <c r="B149" s="51"/>
    </row>
    <row r="150" spans="1:2" ht="12.75">
      <c r="A150" s="51"/>
      <c r="B150" s="51"/>
    </row>
    <row r="151" spans="1:2" ht="12.75">
      <c r="A151" s="51"/>
      <c r="B151" s="51"/>
    </row>
    <row r="152" spans="1:2" ht="12.75">
      <c r="A152" s="51"/>
      <c r="B152" s="51"/>
    </row>
    <row r="153" spans="1:2" ht="12.75">
      <c r="A153" s="51"/>
      <c r="B153" s="51"/>
    </row>
    <row r="154" spans="1:2" ht="12.75">
      <c r="A154" s="51"/>
      <c r="B154" s="51"/>
    </row>
    <row r="155" spans="1:2" ht="12.75">
      <c r="A155" s="51"/>
      <c r="B155" s="51"/>
    </row>
    <row r="156" spans="1:2" ht="12.75">
      <c r="A156" s="51"/>
      <c r="B156" s="51"/>
    </row>
    <row r="157" spans="1:2" ht="12.75">
      <c r="A157" s="51"/>
      <c r="B157" s="51"/>
    </row>
    <row r="158" spans="1:2" ht="12.75">
      <c r="A158" s="51"/>
      <c r="B158" s="51"/>
    </row>
    <row r="159" spans="1:2" ht="12.75">
      <c r="A159" s="51"/>
      <c r="B159" s="51"/>
    </row>
    <row r="160" spans="1:2" ht="12.75">
      <c r="A160" s="51"/>
      <c r="B160" s="51"/>
    </row>
    <row r="161" spans="1:2" ht="12.75">
      <c r="A161" s="51"/>
      <c r="B161" s="51"/>
    </row>
    <row r="162" spans="1:2" ht="12.75">
      <c r="A162" s="51"/>
      <c r="B162" s="51"/>
    </row>
    <row r="163" spans="1:2" ht="12.75">
      <c r="A163" s="51"/>
      <c r="B163" s="51"/>
    </row>
    <row r="164" spans="1:2" ht="12.75">
      <c r="A164" s="51"/>
      <c r="B164" s="51"/>
    </row>
    <row r="165" spans="1:2" ht="12.75">
      <c r="A165" s="51"/>
      <c r="B165" s="51"/>
    </row>
    <row r="166" spans="1:2" ht="12.75">
      <c r="A166" s="51"/>
      <c r="B166" s="51"/>
    </row>
    <row r="167" spans="1:2" ht="12.75">
      <c r="A167" s="51"/>
      <c r="B167" s="51"/>
    </row>
    <row r="168" spans="1:2" ht="12.75">
      <c r="A168" s="51"/>
      <c r="B168" s="51"/>
    </row>
    <row r="169" spans="1:2" ht="12.75">
      <c r="A169" s="51"/>
      <c r="B169" s="51"/>
    </row>
    <row r="170" spans="1:2" ht="12.75">
      <c r="A170" s="51"/>
      <c r="B170" s="51"/>
    </row>
    <row r="171" spans="1:2" ht="12.75">
      <c r="A171" s="51"/>
      <c r="B171" s="51"/>
    </row>
    <row r="172" spans="1:2" ht="12.75">
      <c r="A172" s="51"/>
      <c r="B172" s="51"/>
    </row>
    <row r="173" spans="1:2" ht="12.75">
      <c r="A173" s="51"/>
      <c r="B173" s="51"/>
    </row>
    <row r="174" spans="1:2" ht="12.75">
      <c r="A174" s="51"/>
      <c r="B174" s="51"/>
    </row>
    <row r="175" spans="1:2" ht="12.75">
      <c r="A175" s="51"/>
      <c r="B175" s="51"/>
    </row>
    <row r="176" spans="1:2" ht="12.75">
      <c r="A176" s="51"/>
      <c r="B176" s="51"/>
    </row>
    <row r="177" spans="1:2" ht="12.75">
      <c r="A177" s="51"/>
      <c r="B177" s="51"/>
    </row>
    <row r="178" spans="1:2" ht="12.75">
      <c r="A178" s="51"/>
      <c r="B178" s="51"/>
    </row>
    <row r="179" spans="1:2" ht="12.75">
      <c r="A179" s="51"/>
      <c r="B179" s="51"/>
    </row>
    <row r="180" spans="1:2" ht="12.75">
      <c r="A180" s="51"/>
      <c r="B180" s="51"/>
    </row>
    <row r="181" spans="1:2" ht="12.75">
      <c r="A181" s="51"/>
      <c r="B181" s="51"/>
    </row>
    <row r="182" spans="1:2" ht="12.75">
      <c r="A182" s="51"/>
      <c r="B182" s="51"/>
    </row>
    <row r="183" spans="1:2" ht="12.75">
      <c r="A183" s="51"/>
      <c r="B183" s="51"/>
    </row>
    <row r="184" spans="1:2" ht="12.75">
      <c r="A184" s="51"/>
      <c r="B184" s="51"/>
    </row>
    <row r="185" spans="1:2" ht="12.75">
      <c r="A185" s="51"/>
      <c r="B185" s="51"/>
    </row>
    <row r="186" spans="1:2" ht="12.75">
      <c r="A186" s="51"/>
      <c r="B186" s="51"/>
    </row>
    <row r="187" spans="1:2" ht="12.75">
      <c r="A187" s="51"/>
      <c r="B187" s="51"/>
    </row>
    <row r="188" spans="1:2" ht="12.75">
      <c r="A188" s="51"/>
      <c r="B188" s="51"/>
    </row>
    <row r="189" spans="1:2" ht="12.75">
      <c r="A189" s="51"/>
      <c r="B189" s="51"/>
    </row>
    <row r="190" spans="1:2" ht="12.75">
      <c r="A190" s="51"/>
      <c r="B190" s="51"/>
    </row>
    <row r="191" spans="1:2" ht="12.75">
      <c r="A191" s="51"/>
      <c r="B191" s="51"/>
    </row>
    <row r="192" spans="1:2" ht="12.75">
      <c r="A192" s="51"/>
      <c r="B192" s="51"/>
    </row>
    <row r="193" spans="1:2" ht="12.75">
      <c r="A193" s="51"/>
      <c r="B193" s="51"/>
    </row>
    <row r="194" spans="1:2" ht="12.75">
      <c r="A194" s="51"/>
      <c r="B194" s="51"/>
    </row>
    <row r="195" spans="1:2" ht="12.75">
      <c r="A195" s="51"/>
      <c r="B195" s="51"/>
    </row>
    <row r="196" spans="1:2" ht="12.75">
      <c r="A196" s="51"/>
      <c r="B196" s="51"/>
    </row>
    <row r="197" spans="1:2" ht="12.75">
      <c r="A197" s="51"/>
      <c r="B197" s="51"/>
    </row>
    <row r="198" spans="1:2" ht="12.75">
      <c r="A198" s="51"/>
      <c r="B198" s="51"/>
    </row>
    <row r="199" spans="1:2" ht="12.75">
      <c r="A199" s="51"/>
      <c r="B199" s="51"/>
    </row>
    <row r="200" spans="1:2" ht="12.75">
      <c r="A200" s="51"/>
      <c r="B200" s="51"/>
    </row>
    <row r="201" spans="1:2" ht="12.75">
      <c r="A201" s="51"/>
      <c r="B201" s="51"/>
    </row>
    <row r="202" spans="1:2" ht="12.75">
      <c r="A202" s="51"/>
      <c r="B202" s="51"/>
    </row>
    <row r="203" spans="1:2" ht="12.75">
      <c r="A203" s="51"/>
      <c r="B203" s="51"/>
    </row>
    <row r="204" spans="1:2" ht="12.75">
      <c r="A204" s="51"/>
      <c r="B204" s="51"/>
    </row>
    <row r="205" spans="1:2" ht="12.75">
      <c r="A205" s="51"/>
      <c r="B205" s="51"/>
    </row>
    <row r="206" spans="1:2" ht="12.75">
      <c r="A206" s="51"/>
      <c r="B206" s="51"/>
    </row>
    <row r="207" spans="1:2" ht="12.75">
      <c r="A207" s="51"/>
      <c r="B207" s="51"/>
    </row>
    <row r="208" spans="1:2" ht="12.75">
      <c r="A208" s="51"/>
      <c r="B208" s="51"/>
    </row>
    <row r="209" spans="1:2" ht="12.75">
      <c r="A209" s="51"/>
      <c r="B209" s="51"/>
    </row>
    <row r="210" spans="1:2" ht="12.75">
      <c r="A210" s="51"/>
      <c r="B210" s="51"/>
    </row>
    <row r="211" spans="1:2" ht="12.75">
      <c r="A211" s="51"/>
      <c r="B211" s="51"/>
    </row>
    <row r="212" spans="1:2" ht="12.75">
      <c r="A212" s="51"/>
      <c r="B212" s="51"/>
    </row>
    <row r="213" spans="1:2" ht="12.75">
      <c r="A213" s="51"/>
      <c r="B213" s="51"/>
    </row>
    <row r="214" spans="1:2" ht="12.75">
      <c r="A214" s="51"/>
      <c r="B214" s="51"/>
    </row>
    <row r="215" spans="1:2" ht="12.75">
      <c r="A215" s="51"/>
      <c r="B215" s="51"/>
    </row>
    <row r="216" spans="1:2" ht="12.75">
      <c r="A216" s="51"/>
      <c r="B216" s="51"/>
    </row>
    <row r="217" spans="1:2" ht="12.75">
      <c r="A217" s="51"/>
      <c r="B217" s="51"/>
    </row>
    <row r="218" spans="1:2" ht="12.75">
      <c r="A218" s="51"/>
      <c r="B218" s="51"/>
    </row>
    <row r="219" spans="1:2" ht="12.75">
      <c r="A219" s="51"/>
      <c r="B219" s="51"/>
    </row>
    <row r="220" spans="1:2" ht="12.75">
      <c r="A220" s="51"/>
      <c r="B220" s="51"/>
    </row>
    <row r="221" spans="1:2" ht="12.75">
      <c r="A221" s="51"/>
      <c r="B221" s="51"/>
    </row>
    <row r="222" spans="1:2" ht="12.75">
      <c r="A222" s="51"/>
      <c r="B222" s="51"/>
    </row>
    <row r="223" spans="1:2" ht="12.75">
      <c r="A223" s="51"/>
      <c r="B223" s="51"/>
    </row>
    <row r="224" spans="1:2" ht="12.75">
      <c r="A224" s="51"/>
      <c r="B224" s="51"/>
    </row>
    <row r="225" spans="1:2" ht="12.75">
      <c r="A225" s="51"/>
      <c r="B225" s="51"/>
    </row>
    <row r="226" spans="1:2" ht="12.75">
      <c r="A226" s="51"/>
      <c r="B226" s="51"/>
    </row>
    <row r="227" spans="1:2" ht="12.75">
      <c r="A227" s="51"/>
      <c r="B227" s="51"/>
    </row>
    <row r="228" spans="1:2" ht="12.75">
      <c r="A228" s="51"/>
      <c r="B228" s="51"/>
    </row>
    <row r="229" spans="1:2" ht="12.75">
      <c r="A229" s="51"/>
      <c r="B229" s="51"/>
    </row>
    <row r="230" spans="1:2" ht="12.75">
      <c r="A230" s="51"/>
      <c r="B230" s="51"/>
    </row>
    <row r="231" spans="1:2" ht="12.75">
      <c r="A231" s="51"/>
      <c r="B231" s="51"/>
    </row>
    <row r="232" spans="1:2" ht="12.75">
      <c r="A232" s="51"/>
      <c r="B232" s="51"/>
    </row>
    <row r="233" spans="1:2" ht="12.75">
      <c r="A233" s="51"/>
      <c r="B233" s="51"/>
    </row>
    <row r="234" spans="1:2" ht="12.75">
      <c r="A234" s="51"/>
      <c r="B234" s="51"/>
    </row>
    <row r="235" spans="1:2" ht="12.75">
      <c r="A235" s="51"/>
      <c r="B235" s="51"/>
    </row>
    <row r="236" spans="1:2" ht="12.75">
      <c r="A236" s="51"/>
      <c r="B236" s="51"/>
    </row>
    <row r="237" spans="1:2" ht="12.75">
      <c r="A237" s="51"/>
      <c r="B237" s="51"/>
    </row>
    <row r="238" spans="1:2" ht="12.75">
      <c r="A238" s="51"/>
      <c r="B238" s="51"/>
    </row>
    <row r="239" spans="1:2" ht="12.75">
      <c r="A239" s="51"/>
      <c r="B239" s="51"/>
    </row>
    <row r="240" spans="1:2" ht="12.75">
      <c r="A240" s="51"/>
      <c r="B240" s="51"/>
    </row>
    <row r="241" spans="1:2" ht="12.75">
      <c r="A241" s="51"/>
      <c r="B241" s="51"/>
    </row>
    <row r="242" spans="1:2" ht="12.75">
      <c r="A242" s="51"/>
      <c r="B242" s="51"/>
    </row>
    <row r="243" spans="1:2" ht="12.75">
      <c r="A243" s="51"/>
      <c r="B243" s="51"/>
    </row>
    <row r="244" spans="1:2" ht="12.75">
      <c r="A244" s="51"/>
      <c r="B244" s="51"/>
    </row>
    <row r="245" spans="1:2" ht="12.75">
      <c r="A245" s="51"/>
      <c r="B245" s="51"/>
    </row>
    <row r="246" spans="1:2" ht="12.75">
      <c r="A246" s="51"/>
      <c r="B246" s="51"/>
    </row>
    <row r="247" spans="1:2" ht="12.75">
      <c r="A247" s="51"/>
      <c r="B247" s="51"/>
    </row>
    <row r="248" spans="1:2" ht="12.75">
      <c r="A248" s="51"/>
      <c r="B248" s="51"/>
    </row>
    <row r="249" spans="1:2" ht="12.75">
      <c r="A249" s="51"/>
      <c r="B249" s="51"/>
    </row>
    <row r="250" spans="1:2" ht="12.75">
      <c r="A250" s="51"/>
      <c r="B250" s="51"/>
    </row>
    <row r="251" spans="1:2" ht="12.75">
      <c r="A251" s="51"/>
      <c r="B251" s="51"/>
    </row>
    <row r="252" spans="1:2" ht="12.75">
      <c r="A252" s="51"/>
      <c r="B252" s="51"/>
    </row>
    <row r="253" spans="1:2" ht="12.75">
      <c r="A253" s="51"/>
      <c r="B253" s="51"/>
    </row>
    <row r="254" spans="1:2" ht="12.75">
      <c r="A254" s="51"/>
      <c r="B254" s="51"/>
    </row>
    <row r="255" spans="1:2" ht="12.75">
      <c r="A255" s="51"/>
      <c r="B255" s="51"/>
    </row>
    <row r="256" spans="1:2" ht="12.75">
      <c r="A256" s="51"/>
      <c r="B256" s="51"/>
    </row>
    <row r="257" spans="1:2" ht="12.75">
      <c r="A257" s="51"/>
      <c r="B257" s="51"/>
    </row>
    <row r="258" spans="1:2" ht="12.75">
      <c r="A258" s="51"/>
      <c r="B258" s="51"/>
    </row>
    <row r="259" spans="1:2" ht="12.75">
      <c r="A259" s="51"/>
      <c r="B259" s="51"/>
    </row>
    <row r="260" spans="1:2" ht="12.75">
      <c r="A260" s="51"/>
      <c r="B260" s="51"/>
    </row>
    <row r="261" spans="1:2" ht="12.75">
      <c r="A261" s="51"/>
      <c r="B261" s="51"/>
    </row>
    <row r="262" spans="1:2" ht="12.75">
      <c r="A262" s="51"/>
      <c r="B262" s="51"/>
    </row>
    <row r="263" spans="1:2" ht="12.75">
      <c r="A263" s="51"/>
      <c r="B263" s="51"/>
    </row>
    <row r="264" spans="1:2" ht="12.75">
      <c r="A264" s="51"/>
      <c r="B264" s="51"/>
    </row>
    <row r="265" spans="1:2" ht="12.75">
      <c r="A265" s="51"/>
      <c r="B265" s="51"/>
    </row>
    <row r="266" spans="1:2" ht="12.75">
      <c r="A266" s="51"/>
      <c r="B266" s="51"/>
    </row>
  </sheetData>
  <mergeCells count="39">
    <mergeCell ref="F1:J1"/>
    <mergeCell ref="A2:J2"/>
    <mergeCell ref="A4:J4"/>
    <mergeCell ref="A5:J5"/>
    <mergeCell ref="A6:H6"/>
    <mergeCell ref="A7:A9"/>
    <mergeCell ref="B7:B9"/>
    <mergeCell ref="C7:C9"/>
    <mergeCell ref="D7:D9"/>
    <mergeCell ref="E7:E9"/>
    <mergeCell ref="F7:I7"/>
    <mergeCell ref="F8:G8"/>
    <mergeCell ref="H8:H9"/>
    <mergeCell ref="I8:I9"/>
    <mergeCell ref="A48:A50"/>
    <mergeCell ref="B48:B50"/>
    <mergeCell ref="C48:C50"/>
    <mergeCell ref="D48:D50"/>
    <mergeCell ref="E48:E50"/>
    <mergeCell ref="F48:I48"/>
    <mergeCell ref="F49:G49"/>
    <mergeCell ref="H49:H50"/>
    <mergeCell ref="I49:I50"/>
    <mergeCell ref="A53:J53"/>
    <mergeCell ref="A54:A55"/>
    <mergeCell ref="B54:C55"/>
    <mergeCell ref="D54:D55"/>
    <mergeCell ref="E54:E55"/>
    <mergeCell ref="F54:H54"/>
    <mergeCell ref="I54:I55"/>
    <mergeCell ref="J54:J55"/>
    <mergeCell ref="B62:J62"/>
    <mergeCell ref="B65:H65"/>
    <mergeCell ref="A56:A60"/>
    <mergeCell ref="B56:C56"/>
    <mergeCell ref="B57:C57"/>
    <mergeCell ref="B58:C58"/>
    <mergeCell ref="B59:C59"/>
    <mergeCell ref="B60:C60"/>
  </mergeCells>
  <printOptions/>
  <pageMargins left="0.75" right="0.75" top="1" bottom="1" header="0.5" footer="0.5"/>
  <pageSetup horizontalDpi="600" verticalDpi="600" orientation="portrait" paperSize="9" scale="47" r:id="rId1"/>
  <rowBreaks count="1" manualBreakCount="1">
    <brk id="6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AoIR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WES</cp:lastModifiedBy>
  <cp:lastPrinted>2014-09-15T06:56:44Z</cp:lastPrinted>
  <dcterms:created xsi:type="dcterms:W3CDTF">2006-03-06T08:26:24Z</dcterms:created>
  <dcterms:modified xsi:type="dcterms:W3CDTF">2014-09-23T03:04:40Z</dcterms:modified>
  <cp:category/>
  <cp:version/>
  <cp:contentType/>
  <cp:contentStatus/>
</cp:coreProperties>
</file>